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o\MARICELA\SIRET 2024\PAAS 2024\"/>
    </mc:Choice>
  </mc:AlternateContent>
  <xr:revisionPtr revIDLastSave="0" documentId="13_ncr:1_{5791929D-F746-4F57-9F85-6F4F0CD874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AAS 2024" sheetId="1" r:id="rId1"/>
    <sheet name="CAPITULO" sheetId="8" r:id="rId2"/>
    <sheet name="PARTIDA" sheetId="6" r:id="rId3"/>
    <sheet name="COG" sheetId="10" r:id="rId4"/>
    <sheet name="FF" sheetId="7" state="hidden" r:id="rId5"/>
    <sheet name="PROCED" sheetId="9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'PAAAS 2024'!$A$1510:$Q$1549</definedName>
    <definedName name="BIENES">PARTIDA!$E$2:$E$117</definedName>
    <definedName name="CAPITULOS">PARTIDA!$H$2:$H$4</definedName>
    <definedName name="MATERIALES">PARTIDA!$A$2:$A$128</definedName>
    <definedName name="SERVICIOS">PARTIDA!$C$2:$C$188</definedName>
    <definedName name="_xlnm.Print_Titles" localSheetId="0">'PAAAS 2024'!$1510:$1513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15" i="1" l="1"/>
  <c r="N1516" i="1"/>
  <c r="N1517" i="1"/>
  <c r="N1518" i="1"/>
  <c r="N1519" i="1"/>
  <c r="N1549" i="1" s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14" i="1"/>
  <c r="I1508" i="1"/>
  <c r="E1508" i="1"/>
  <c r="N1382" i="1"/>
  <c r="E1382" i="1"/>
  <c r="N1381" i="1"/>
  <c r="E1381" i="1"/>
  <c r="N1380" i="1"/>
  <c r="E1380" i="1"/>
  <c r="N1379" i="1"/>
  <c r="E1379" i="1"/>
  <c r="N1378" i="1"/>
  <c r="E1378" i="1"/>
  <c r="N1377" i="1"/>
  <c r="E1377" i="1"/>
  <c r="N1376" i="1"/>
  <c r="E1376" i="1"/>
  <c r="N1375" i="1"/>
  <c r="E1375" i="1"/>
  <c r="N1374" i="1"/>
  <c r="E1374" i="1"/>
  <c r="N1373" i="1"/>
  <c r="E1373" i="1"/>
  <c r="N1372" i="1"/>
  <c r="E1372" i="1"/>
  <c r="N1371" i="1"/>
  <c r="E1371" i="1"/>
  <c r="N1370" i="1"/>
  <c r="E1370" i="1"/>
  <c r="N1369" i="1"/>
  <c r="E1369" i="1"/>
  <c r="N1368" i="1"/>
  <c r="E1368" i="1"/>
  <c r="N1367" i="1"/>
  <c r="E1367" i="1"/>
  <c r="N1366" i="1"/>
  <c r="E1366" i="1"/>
  <c r="N1365" i="1"/>
  <c r="E1365" i="1"/>
  <c r="N1364" i="1"/>
  <c r="E1364" i="1"/>
  <c r="N1363" i="1"/>
  <c r="E1363" i="1"/>
  <c r="N1362" i="1"/>
  <c r="E1362" i="1"/>
  <c r="N1361" i="1"/>
  <c r="E1361" i="1"/>
  <c r="N1360" i="1"/>
  <c r="E1360" i="1"/>
  <c r="N1359" i="1"/>
  <c r="E1359" i="1"/>
  <c r="N1358" i="1"/>
  <c r="E1358" i="1"/>
  <c r="N1357" i="1"/>
  <c r="E1357" i="1"/>
  <c r="N1356" i="1"/>
  <c r="E1356" i="1"/>
  <c r="N1355" i="1"/>
  <c r="E1355" i="1"/>
  <c r="N1354" i="1"/>
  <c r="E1354" i="1"/>
  <c r="N1353" i="1"/>
  <c r="E1353" i="1"/>
  <c r="N1352" i="1"/>
  <c r="E1352" i="1"/>
  <c r="N1351" i="1"/>
  <c r="E1351" i="1"/>
  <c r="N1350" i="1"/>
  <c r="E1350" i="1"/>
  <c r="N1349" i="1"/>
  <c r="E1349" i="1"/>
  <c r="N1348" i="1"/>
  <c r="E1348" i="1"/>
  <c r="N1347" i="1"/>
  <c r="E1347" i="1"/>
  <c r="N1346" i="1"/>
  <c r="E1346" i="1"/>
  <c r="N1345" i="1"/>
  <c r="E1345" i="1"/>
  <c r="N1344" i="1"/>
  <c r="E1344" i="1"/>
  <c r="N1343" i="1"/>
  <c r="E1343" i="1"/>
  <c r="N1342" i="1"/>
  <c r="E1342" i="1"/>
  <c r="N1341" i="1"/>
  <c r="E1341" i="1"/>
  <c r="N1340" i="1"/>
  <c r="I1340" i="1"/>
  <c r="E1340" i="1"/>
  <c r="N1339" i="1"/>
  <c r="I1339" i="1"/>
  <c r="E1339" i="1"/>
  <c r="N1332" i="1"/>
  <c r="I1332" i="1"/>
  <c r="E1332" i="1"/>
  <c r="N1331" i="1"/>
  <c r="I1331" i="1"/>
  <c r="E1331" i="1"/>
  <c r="N1330" i="1"/>
  <c r="I1330" i="1"/>
  <c r="E1330" i="1"/>
  <c r="N1329" i="1"/>
  <c r="I1329" i="1"/>
  <c r="E1329" i="1"/>
  <c r="N1328" i="1"/>
  <c r="I1328" i="1"/>
  <c r="E1328" i="1"/>
  <c r="N1327" i="1"/>
  <c r="I1327" i="1"/>
  <c r="E1327" i="1"/>
  <c r="N1326" i="1"/>
  <c r="I1326" i="1"/>
  <c r="E1326" i="1"/>
  <c r="N1325" i="1"/>
  <c r="I1325" i="1"/>
  <c r="E1325" i="1"/>
  <c r="N1324" i="1"/>
  <c r="I1324" i="1"/>
  <c r="E1324" i="1"/>
  <c r="N1323" i="1"/>
  <c r="I1323" i="1"/>
  <c r="E1323" i="1"/>
  <c r="N1322" i="1"/>
  <c r="I1322" i="1"/>
  <c r="E1322" i="1"/>
  <c r="N1321" i="1"/>
  <c r="I1321" i="1"/>
  <c r="E1321" i="1"/>
  <c r="N1320" i="1"/>
  <c r="I1320" i="1"/>
  <c r="E1320" i="1"/>
  <c r="N1319" i="1"/>
  <c r="I1319" i="1"/>
  <c r="E1319" i="1"/>
  <c r="N1318" i="1"/>
  <c r="I1318" i="1"/>
  <c r="E1318" i="1"/>
  <c r="N1317" i="1"/>
  <c r="I1317" i="1"/>
  <c r="E1317" i="1"/>
  <c r="N1316" i="1"/>
  <c r="I1316" i="1"/>
  <c r="E1316" i="1"/>
  <c r="N1315" i="1"/>
  <c r="I1315" i="1"/>
  <c r="E1315" i="1"/>
  <c r="N1314" i="1"/>
  <c r="I1314" i="1"/>
  <c r="E1314" i="1"/>
  <c r="N1313" i="1"/>
  <c r="I1313" i="1"/>
  <c r="E1313" i="1"/>
  <c r="N1312" i="1"/>
  <c r="I1312" i="1"/>
  <c r="E1312" i="1"/>
  <c r="N1311" i="1"/>
  <c r="I1311" i="1"/>
  <c r="E1311" i="1"/>
  <c r="N1310" i="1"/>
  <c r="I1310" i="1"/>
  <c r="E1310" i="1"/>
  <c r="N1309" i="1"/>
  <c r="I1309" i="1"/>
  <c r="E1309" i="1"/>
  <c r="N1308" i="1"/>
  <c r="I1308" i="1"/>
  <c r="E1308" i="1"/>
  <c r="N1307" i="1"/>
  <c r="I1307" i="1"/>
  <c r="E1307" i="1"/>
  <c r="N1306" i="1"/>
  <c r="I1306" i="1"/>
  <c r="E1306" i="1"/>
  <c r="N1305" i="1"/>
  <c r="I1305" i="1"/>
  <c r="E1305" i="1"/>
  <c r="N1304" i="1"/>
  <c r="I1304" i="1"/>
  <c r="E1304" i="1"/>
  <c r="N1303" i="1"/>
  <c r="I1303" i="1"/>
  <c r="E1303" i="1"/>
  <c r="N1302" i="1"/>
  <c r="I1302" i="1"/>
  <c r="E1302" i="1"/>
  <c r="N1301" i="1"/>
  <c r="I1301" i="1"/>
  <c r="E1301" i="1"/>
  <c r="N1300" i="1"/>
  <c r="I1300" i="1"/>
  <c r="E1300" i="1"/>
  <c r="N1299" i="1"/>
  <c r="I1299" i="1"/>
  <c r="E1299" i="1"/>
  <c r="N1298" i="1"/>
  <c r="I1298" i="1"/>
  <c r="E1298" i="1"/>
  <c r="N1297" i="1"/>
  <c r="I1297" i="1"/>
  <c r="E1297" i="1"/>
  <c r="N1296" i="1"/>
  <c r="I1296" i="1"/>
  <c r="E1296" i="1"/>
  <c r="N1295" i="1"/>
  <c r="I1295" i="1"/>
  <c r="E1295" i="1"/>
  <c r="N1294" i="1"/>
  <c r="I1294" i="1"/>
  <c r="E1294" i="1"/>
  <c r="N1293" i="1"/>
  <c r="I1293" i="1"/>
  <c r="E1293" i="1"/>
  <c r="N1292" i="1"/>
  <c r="I1292" i="1"/>
  <c r="E1292" i="1"/>
  <c r="N1291" i="1"/>
  <c r="I1291" i="1"/>
  <c r="E1291" i="1"/>
  <c r="N1290" i="1"/>
  <c r="I1290" i="1"/>
  <c r="E1290" i="1"/>
  <c r="N1289" i="1"/>
  <c r="I1289" i="1"/>
  <c r="E1289" i="1"/>
  <c r="N1288" i="1"/>
  <c r="I1288" i="1"/>
  <c r="E1288" i="1"/>
  <c r="N1287" i="1"/>
  <c r="I1287" i="1"/>
  <c r="E1287" i="1"/>
  <c r="N1286" i="1"/>
  <c r="I1286" i="1"/>
  <c r="E1286" i="1"/>
  <c r="N1285" i="1"/>
  <c r="I1285" i="1"/>
  <c r="E1285" i="1"/>
  <c r="N1284" i="1"/>
  <c r="I1284" i="1"/>
  <c r="E1284" i="1"/>
  <c r="N1283" i="1"/>
  <c r="I1283" i="1"/>
  <c r="E1283" i="1"/>
  <c r="N1282" i="1"/>
  <c r="I1282" i="1"/>
  <c r="E1282" i="1"/>
  <c r="N1281" i="1"/>
  <c r="I1281" i="1"/>
  <c r="E1281" i="1"/>
  <c r="N1280" i="1"/>
  <c r="I1280" i="1"/>
  <c r="E1280" i="1"/>
  <c r="N1279" i="1"/>
  <c r="I1279" i="1"/>
  <c r="E1279" i="1"/>
  <c r="N1278" i="1"/>
  <c r="I1278" i="1"/>
  <c r="E1278" i="1"/>
  <c r="N1277" i="1"/>
  <c r="I1277" i="1"/>
  <c r="E1277" i="1"/>
  <c r="N1276" i="1"/>
  <c r="I1276" i="1"/>
  <c r="E1276" i="1"/>
  <c r="N1275" i="1"/>
  <c r="I1275" i="1"/>
  <c r="E1275" i="1"/>
  <c r="N1274" i="1"/>
  <c r="I1274" i="1"/>
  <c r="E1274" i="1"/>
  <c r="N1273" i="1"/>
  <c r="I1273" i="1"/>
  <c r="E1273" i="1"/>
  <c r="N1272" i="1"/>
  <c r="I1272" i="1"/>
  <c r="E1272" i="1"/>
  <c r="N1271" i="1"/>
  <c r="I1271" i="1"/>
  <c r="E1271" i="1"/>
  <c r="N1270" i="1"/>
  <c r="I1270" i="1"/>
  <c r="E1270" i="1"/>
  <c r="N1269" i="1"/>
  <c r="I1269" i="1"/>
  <c r="E1269" i="1"/>
  <c r="N1268" i="1"/>
  <c r="I1268" i="1"/>
  <c r="E1268" i="1"/>
  <c r="N1267" i="1"/>
  <c r="I1267" i="1"/>
  <c r="E1267" i="1"/>
  <c r="N1266" i="1"/>
  <c r="I1266" i="1"/>
  <c r="E1266" i="1"/>
  <c r="N1265" i="1"/>
  <c r="I1265" i="1"/>
  <c r="E1265" i="1"/>
  <c r="N1264" i="1"/>
  <c r="I1264" i="1"/>
  <c r="E1264" i="1"/>
  <c r="N1263" i="1"/>
  <c r="I1263" i="1"/>
  <c r="E1263" i="1"/>
  <c r="N1262" i="1"/>
  <c r="I1262" i="1"/>
  <c r="E1262" i="1"/>
  <c r="N1261" i="1"/>
  <c r="I1261" i="1"/>
  <c r="E1261" i="1"/>
  <c r="N1260" i="1"/>
  <c r="I1260" i="1"/>
  <c r="E1260" i="1"/>
  <c r="N1259" i="1"/>
  <c r="I1259" i="1"/>
  <c r="E1259" i="1"/>
  <c r="N1258" i="1"/>
  <c r="I1258" i="1"/>
  <c r="E1258" i="1"/>
  <c r="N1257" i="1"/>
  <c r="I1257" i="1"/>
  <c r="E1257" i="1"/>
  <c r="N1256" i="1"/>
  <c r="I1256" i="1"/>
  <c r="E1256" i="1"/>
  <c r="N1255" i="1"/>
  <c r="I1255" i="1"/>
  <c r="E1255" i="1"/>
  <c r="N1254" i="1"/>
  <c r="I1254" i="1"/>
  <c r="E1254" i="1"/>
  <c r="N1253" i="1"/>
  <c r="I1253" i="1"/>
  <c r="E1253" i="1"/>
  <c r="N1252" i="1"/>
  <c r="I1252" i="1"/>
  <c r="E1252" i="1"/>
  <c r="N1251" i="1"/>
  <c r="I1251" i="1"/>
  <c r="E1251" i="1"/>
  <c r="N1250" i="1"/>
  <c r="I1250" i="1"/>
  <c r="E1250" i="1"/>
  <c r="N1249" i="1"/>
  <c r="I1249" i="1"/>
  <c r="E1249" i="1"/>
  <c r="N1248" i="1"/>
  <c r="I1248" i="1"/>
  <c r="E1248" i="1"/>
  <c r="N1247" i="1"/>
  <c r="I1247" i="1"/>
  <c r="E1247" i="1"/>
  <c r="N1246" i="1"/>
  <c r="I1246" i="1"/>
  <c r="E1246" i="1"/>
  <c r="N1245" i="1"/>
  <c r="I1245" i="1"/>
  <c r="E1245" i="1"/>
  <c r="N1244" i="1"/>
  <c r="I1244" i="1"/>
  <c r="E1244" i="1"/>
  <c r="N1243" i="1"/>
  <c r="I1243" i="1"/>
  <c r="E1243" i="1"/>
  <c r="N1242" i="1"/>
  <c r="I1242" i="1"/>
  <c r="E1242" i="1"/>
  <c r="N1241" i="1"/>
  <c r="I1241" i="1"/>
  <c r="E1241" i="1"/>
  <c r="N1240" i="1"/>
  <c r="I1240" i="1"/>
  <c r="E1240" i="1"/>
  <c r="N1239" i="1"/>
  <c r="I1239" i="1"/>
  <c r="E1239" i="1"/>
  <c r="N1238" i="1"/>
  <c r="I1238" i="1"/>
  <c r="E1238" i="1"/>
  <c r="N1237" i="1"/>
  <c r="I1237" i="1"/>
  <c r="E1237" i="1"/>
  <c r="N1236" i="1"/>
  <c r="I1236" i="1"/>
  <c r="E1236" i="1"/>
  <c r="N1235" i="1"/>
  <c r="I1235" i="1"/>
  <c r="E1235" i="1"/>
  <c r="N1234" i="1"/>
  <c r="I1234" i="1"/>
  <c r="E1234" i="1"/>
  <c r="N1233" i="1"/>
  <c r="I1233" i="1"/>
  <c r="E1233" i="1"/>
  <c r="N1232" i="1"/>
  <c r="I1232" i="1"/>
  <c r="E1232" i="1"/>
  <c r="N1231" i="1"/>
  <c r="I1231" i="1"/>
  <c r="E1231" i="1"/>
  <c r="N1230" i="1"/>
  <c r="I1230" i="1"/>
  <c r="E1230" i="1"/>
  <c r="N1229" i="1"/>
  <c r="I1229" i="1"/>
  <c r="E1229" i="1"/>
  <c r="N1228" i="1"/>
  <c r="I1228" i="1"/>
  <c r="E1228" i="1"/>
  <c r="N1227" i="1"/>
  <c r="I1227" i="1"/>
  <c r="E1227" i="1"/>
  <c r="N1226" i="1"/>
  <c r="I1226" i="1"/>
  <c r="E1226" i="1"/>
  <c r="N1225" i="1"/>
  <c r="I1225" i="1"/>
  <c r="E1225" i="1"/>
  <c r="N1224" i="1"/>
  <c r="I1224" i="1"/>
  <c r="E1224" i="1"/>
  <c r="N1223" i="1"/>
  <c r="I1223" i="1"/>
  <c r="E1223" i="1"/>
  <c r="N1222" i="1"/>
  <c r="I1222" i="1"/>
  <c r="E1222" i="1"/>
  <c r="N1221" i="1"/>
  <c r="I1221" i="1"/>
  <c r="E1221" i="1"/>
  <c r="N1220" i="1"/>
  <c r="I1220" i="1"/>
  <c r="E1220" i="1"/>
  <c r="N1219" i="1"/>
  <c r="I1219" i="1"/>
  <c r="E1219" i="1"/>
  <c r="N1218" i="1"/>
  <c r="I1218" i="1"/>
  <c r="E1218" i="1"/>
  <c r="N1217" i="1"/>
  <c r="I1217" i="1"/>
  <c r="E1217" i="1"/>
  <c r="N1216" i="1"/>
  <c r="I1216" i="1"/>
  <c r="E1216" i="1"/>
  <c r="N1215" i="1"/>
  <c r="I1215" i="1"/>
  <c r="E1215" i="1"/>
  <c r="N1214" i="1"/>
  <c r="I1214" i="1"/>
  <c r="E1214" i="1"/>
  <c r="N1213" i="1"/>
  <c r="I1213" i="1"/>
  <c r="E1213" i="1"/>
  <c r="N1212" i="1"/>
  <c r="I1212" i="1"/>
  <c r="E1212" i="1"/>
  <c r="N1211" i="1"/>
  <c r="I1211" i="1"/>
  <c r="E1211" i="1"/>
  <c r="N1210" i="1"/>
  <c r="I1210" i="1"/>
  <c r="E1210" i="1"/>
  <c r="N1209" i="1"/>
  <c r="I1209" i="1"/>
  <c r="E1209" i="1"/>
  <c r="N1208" i="1"/>
  <c r="I1208" i="1"/>
  <c r="E1208" i="1"/>
  <c r="N1207" i="1"/>
  <c r="I1207" i="1"/>
  <c r="E1207" i="1"/>
  <c r="N1206" i="1"/>
  <c r="I1206" i="1"/>
  <c r="E1206" i="1"/>
  <c r="N1205" i="1"/>
  <c r="I1205" i="1"/>
  <c r="E1205" i="1"/>
  <c r="N1204" i="1"/>
  <c r="I1204" i="1"/>
  <c r="E1204" i="1"/>
  <c r="N1203" i="1"/>
  <c r="I1203" i="1"/>
  <c r="E1203" i="1"/>
  <c r="N1202" i="1"/>
  <c r="I1202" i="1"/>
  <c r="E1202" i="1"/>
  <c r="N1201" i="1"/>
  <c r="I1201" i="1"/>
  <c r="E1201" i="1"/>
  <c r="N1200" i="1"/>
  <c r="I1200" i="1"/>
  <c r="E1200" i="1"/>
  <c r="N1199" i="1"/>
  <c r="I1199" i="1"/>
  <c r="E1199" i="1"/>
  <c r="N1198" i="1"/>
  <c r="I1198" i="1"/>
  <c r="E1198" i="1"/>
  <c r="N1197" i="1"/>
  <c r="I1197" i="1"/>
  <c r="E1197" i="1"/>
  <c r="N1196" i="1"/>
  <c r="I1196" i="1"/>
  <c r="E1196" i="1"/>
  <c r="N1195" i="1"/>
  <c r="I1195" i="1"/>
  <c r="E1195" i="1"/>
  <c r="N1189" i="1"/>
  <c r="M1166" i="1"/>
  <c r="L1166" i="1"/>
  <c r="K1166" i="1"/>
  <c r="J1166" i="1"/>
  <c r="I1166" i="1"/>
  <c r="E1166" i="1"/>
  <c r="K1165" i="1"/>
  <c r="J1165" i="1"/>
  <c r="I1165" i="1"/>
  <c r="E1165" i="1"/>
  <c r="M1164" i="1"/>
  <c r="L1164" i="1"/>
  <c r="K1164" i="1"/>
  <c r="J1164" i="1"/>
  <c r="I1164" i="1"/>
  <c r="E1164" i="1"/>
  <c r="K1163" i="1"/>
  <c r="J1163" i="1"/>
  <c r="I1163" i="1"/>
  <c r="E1163" i="1"/>
  <c r="M1162" i="1"/>
  <c r="L1162" i="1"/>
  <c r="K1162" i="1"/>
  <c r="J1162" i="1"/>
  <c r="I1162" i="1"/>
  <c r="E1162" i="1"/>
  <c r="M1161" i="1"/>
  <c r="L1161" i="1"/>
  <c r="K1161" i="1"/>
  <c r="J1161" i="1"/>
  <c r="I1161" i="1"/>
  <c r="E1161" i="1"/>
  <c r="M1160" i="1"/>
  <c r="L1160" i="1"/>
  <c r="K1160" i="1"/>
  <c r="J1160" i="1"/>
  <c r="I1160" i="1"/>
  <c r="E1160" i="1"/>
  <c r="J1159" i="1"/>
  <c r="N1159" i="1" s="1"/>
  <c r="I1159" i="1"/>
  <c r="E1159" i="1"/>
  <c r="M1158" i="1"/>
  <c r="L1158" i="1"/>
  <c r="K1158" i="1"/>
  <c r="J1158" i="1"/>
  <c r="I1158" i="1"/>
  <c r="E1158" i="1"/>
  <c r="K1157" i="1"/>
  <c r="J1157" i="1"/>
  <c r="I1157" i="1"/>
  <c r="E1157" i="1"/>
  <c r="M1156" i="1"/>
  <c r="L1156" i="1"/>
  <c r="K1156" i="1"/>
  <c r="J1156" i="1"/>
  <c r="I1156" i="1"/>
  <c r="E1156" i="1"/>
  <c r="L1155" i="1"/>
  <c r="K1155" i="1"/>
  <c r="J1155" i="1"/>
  <c r="I1155" i="1"/>
  <c r="E1155" i="1"/>
  <c r="M1154" i="1"/>
  <c r="J1154" i="1"/>
  <c r="I1154" i="1"/>
  <c r="E1154" i="1"/>
  <c r="M1153" i="1"/>
  <c r="L1153" i="1"/>
  <c r="K1153" i="1"/>
  <c r="I1153" i="1"/>
  <c r="E1153" i="1"/>
  <c r="M1152" i="1"/>
  <c r="L1152" i="1"/>
  <c r="K1152" i="1"/>
  <c r="J1152" i="1"/>
  <c r="I1152" i="1"/>
  <c r="E1152" i="1"/>
  <c r="L1151" i="1"/>
  <c r="K1151" i="1"/>
  <c r="J1151" i="1"/>
  <c r="I1151" i="1"/>
  <c r="E1151" i="1"/>
  <c r="N1150" i="1"/>
  <c r="I1150" i="1"/>
  <c r="E1150" i="1"/>
  <c r="M1149" i="1"/>
  <c r="L1149" i="1"/>
  <c r="I1149" i="1"/>
  <c r="E1149" i="1"/>
  <c r="M1148" i="1"/>
  <c r="L1148" i="1"/>
  <c r="K1148" i="1"/>
  <c r="I1148" i="1"/>
  <c r="E1148" i="1"/>
  <c r="M1147" i="1"/>
  <c r="L1147" i="1"/>
  <c r="K1147" i="1"/>
  <c r="J1147" i="1"/>
  <c r="I1147" i="1"/>
  <c r="E1147" i="1"/>
  <c r="J1146" i="1"/>
  <c r="N1146" i="1" s="1"/>
  <c r="I1146" i="1"/>
  <c r="E1146" i="1"/>
  <c r="M1145" i="1"/>
  <c r="L1145" i="1"/>
  <c r="K1145" i="1"/>
  <c r="J1145" i="1"/>
  <c r="I1145" i="1"/>
  <c r="E1145" i="1"/>
  <c r="M1144" i="1"/>
  <c r="L1144" i="1"/>
  <c r="K1144" i="1"/>
  <c r="J1144" i="1"/>
  <c r="I1144" i="1"/>
  <c r="E1144" i="1"/>
  <c r="M1143" i="1"/>
  <c r="L1143" i="1"/>
  <c r="K1143" i="1"/>
  <c r="I1143" i="1"/>
  <c r="E1143" i="1"/>
  <c r="N1142" i="1"/>
  <c r="I1142" i="1"/>
  <c r="E1142" i="1"/>
  <c r="N1141" i="1"/>
  <c r="I1141" i="1"/>
  <c r="E1141" i="1"/>
  <c r="M1140" i="1"/>
  <c r="L1140" i="1"/>
  <c r="K1140" i="1"/>
  <c r="J1140" i="1"/>
  <c r="I1140" i="1"/>
  <c r="E1140" i="1"/>
  <c r="M1139" i="1"/>
  <c r="L1139" i="1"/>
  <c r="I1139" i="1"/>
  <c r="E1139" i="1"/>
  <c r="M1138" i="1"/>
  <c r="L1138" i="1"/>
  <c r="K1138" i="1"/>
  <c r="J1138" i="1"/>
  <c r="I1138" i="1"/>
  <c r="E1138" i="1"/>
  <c r="M1137" i="1"/>
  <c r="L1137" i="1"/>
  <c r="K1137" i="1"/>
  <c r="J1137" i="1"/>
  <c r="I1137" i="1"/>
  <c r="E1137" i="1"/>
  <c r="M1136" i="1"/>
  <c r="L1136" i="1"/>
  <c r="K1136" i="1"/>
  <c r="J1136" i="1"/>
  <c r="I1136" i="1"/>
  <c r="E1136" i="1"/>
  <c r="M1135" i="1"/>
  <c r="L1135" i="1"/>
  <c r="K1135" i="1"/>
  <c r="J1135" i="1"/>
  <c r="I1135" i="1"/>
  <c r="E1135" i="1"/>
  <c r="M1134" i="1"/>
  <c r="L1134" i="1"/>
  <c r="K1134" i="1"/>
  <c r="J1134" i="1"/>
  <c r="I1134" i="1"/>
  <c r="E1134" i="1"/>
  <c r="M1133" i="1"/>
  <c r="L1133" i="1"/>
  <c r="K1133" i="1"/>
  <c r="J1133" i="1"/>
  <c r="I1133" i="1"/>
  <c r="E1133" i="1"/>
  <c r="M1132" i="1"/>
  <c r="L1132" i="1"/>
  <c r="K1132" i="1"/>
  <c r="J1132" i="1"/>
  <c r="I1132" i="1"/>
  <c r="E1132" i="1"/>
  <c r="M1131" i="1"/>
  <c r="L1131" i="1"/>
  <c r="K1131" i="1"/>
  <c r="J1131" i="1"/>
  <c r="I1131" i="1"/>
  <c r="E1131" i="1"/>
  <c r="L1130" i="1"/>
  <c r="K1130" i="1"/>
  <c r="J1130" i="1"/>
  <c r="I1130" i="1"/>
  <c r="E1130" i="1"/>
  <c r="M1129" i="1"/>
  <c r="L1129" i="1"/>
  <c r="K1129" i="1"/>
  <c r="J1129" i="1"/>
  <c r="I1129" i="1"/>
  <c r="E1129" i="1"/>
  <c r="M1128" i="1"/>
  <c r="L1128" i="1"/>
  <c r="K1128" i="1"/>
  <c r="J1128" i="1"/>
  <c r="I1128" i="1"/>
  <c r="E1128" i="1"/>
  <c r="M1127" i="1"/>
  <c r="L1127" i="1"/>
  <c r="K1127" i="1"/>
  <c r="J1127" i="1"/>
  <c r="I1127" i="1"/>
  <c r="E1127" i="1"/>
  <c r="K1126" i="1"/>
  <c r="N1126" i="1" s="1"/>
  <c r="I1126" i="1"/>
  <c r="E1126" i="1"/>
  <c r="M1125" i="1"/>
  <c r="L1125" i="1"/>
  <c r="K1125" i="1"/>
  <c r="J1125" i="1"/>
  <c r="I1125" i="1"/>
  <c r="E1125" i="1"/>
  <c r="M1124" i="1"/>
  <c r="L1124" i="1"/>
  <c r="K1124" i="1"/>
  <c r="J1124" i="1"/>
  <c r="I1124" i="1"/>
  <c r="E1124" i="1"/>
  <c r="M1123" i="1"/>
  <c r="K1123" i="1"/>
  <c r="J1123" i="1"/>
  <c r="I1123" i="1"/>
  <c r="E1123" i="1"/>
  <c r="M1122" i="1"/>
  <c r="L1122" i="1"/>
  <c r="K1122" i="1"/>
  <c r="J1122" i="1"/>
  <c r="I1122" i="1"/>
  <c r="E1122" i="1"/>
  <c r="N1121" i="1"/>
  <c r="I1121" i="1"/>
  <c r="E1121" i="1"/>
  <c r="M1120" i="1"/>
  <c r="L1120" i="1"/>
  <c r="K1120" i="1"/>
  <c r="J1120" i="1"/>
  <c r="I1120" i="1"/>
  <c r="E1120" i="1"/>
  <c r="M1119" i="1"/>
  <c r="L1119" i="1"/>
  <c r="K1119" i="1"/>
  <c r="J1119" i="1"/>
  <c r="I1119" i="1"/>
  <c r="E1119" i="1"/>
  <c r="M1118" i="1"/>
  <c r="L1118" i="1"/>
  <c r="K1118" i="1"/>
  <c r="J1118" i="1"/>
  <c r="I1118" i="1"/>
  <c r="E1118" i="1"/>
  <c r="M1117" i="1"/>
  <c r="L1117" i="1"/>
  <c r="K1117" i="1"/>
  <c r="J1117" i="1"/>
  <c r="I1117" i="1"/>
  <c r="E1117" i="1"/>
  <c r="M1116" i="1"/>
  <c r="L1116" i="1"/>
  <c r="K1116" i="1"/>
  <c r="J1116" i="1"/>
  <c r="I1116" i="1"/>
  <c r="E1116" i="1"/>
  <c r="M1115" i="1"/>
  <c r="L1115" i="1"/>
  <c r="K1115" i="1"/>
  <c r="J1115" i="1"/>
  <c r="I1115" i="1"/>
  <c r="E1115" i="1"/>
  <c r="K1114" i="1"/>
  <c r="J1114" i="1"/>
  <c r="I1114" i="1"/>
  <c r="E1114" i="1"/>
  <c r="M1113" i="1"/>
  <c r="L1113" i="1"/>
  <c r="K1113" i="1"/>
  <c r="J1113" i="1"/>
  <c r="I1113" i="1"/>
  <c r="E1113" i="1"/>
  <c r="M1112" i="1"/>
  <c r="L1112" i="1"/>
  <c r="K1112" i="1"/>
  <c r="J1112" i="1"/>
  <c r="I1112" i="1"/>
  <c r="E1112" i="1"/>
  <c r="M1111" i="1"/>
  <c r="L1111" i="1"/>
  <c r="K1111" i="1"/>
  <c r="J1111" i="1"/>
  <c r="I1111" i="1"/>
  <c r="E1111" i="1"/>
  <c r="M1110" i="1"/>
  <c r="L1110" i="1"/>
  <c r="K1110" i="1"/>
  <c r="J1110" i="1"/>
  <c r="I1110" i="1"/>
  <c r="E1110" i="1"/>
  <c r="M1109" i="1"/>
  <c r="L1109" i="1"/>
  <c r="K1109" i="1"/>
  <c r="J1109" i="1"/>
  <c r="I1109" i="1"/>
  <c r="E1109" i="1"/>
  <c r="M1108" i="1"/>
  <c r="L1108" i="1"/>
  <c r="K1108" i="1"/>
  <c r="I1108" i="1"/>
  <c r="E1108" i="1"/>
  <c r="M1107" i="1"/>
  <c r="L1107" i="1"/>
  <c r="K1107" i="1"/>
  <c r="J1107" i="1"/>
  <c r="I1107" i="1"/>
  <c r="E1107" i="1"/>
  <c r="M1106" i="1"/>
  <c r="L1106" i="1"/>
  <c r="K1106" i="1"/>
  <c r="J1106" i="1"/>
  <c r="I1106" i="1"/>
  <c r="E1106" i="1"/>
  <c r="L1105" i="1"/>
  <c r="K1105" i="1"/>
  <c r="I1105" i="1"/>
  <c r="E1105" i="1"/>
  <c r="M1104" i="1"/>
  <c r="L1104" i="1"/>
  <c r="K1104" i="1"/>
  <c r="J1104" i="1"/>
  <c r="I1104" i="1"/>
  <c r="E1104" i="1"/>
  <c r="L1103" i="1"/>
  <c r="K1103" i="1"/>
  <c r="J1103" i="1"/>
  <c r="I1103" i="1"/>
  <c r="E1103" i="1"/>
  <c r="M1102" i="1"/>
  <c r="L1102" i="1"/>
  <c r="J1102" i="1"/>
  <c r="I1102" i="1"/>
  <c r="E1102" i="1"/>
  <c r="M1101" i="1"/>
  <c r="L1101" i="1"/>
  <c r="K1101" i="1"/>
  <c r="J1101" i="1"/>
  <c r="I1101" i="1"/>
  <c r="E1101" i="1"/>
  <c r="M1100" i="1"/>
  <c r="L1100" i="1"/>
  <c r="K1100" i="1"/>
  <c r="I1100" i="1"/>
  <c r="E1100" i="1"/>
  <c r="M1099" i="1"/>
  <c r="L1099" i="1"/>
  <c r="K1099" i="1"/>
  <c r="J1099" i="1"/>
  <c r="I1099" i="1"/>
  <c r="E1099" i="1"/>
  <c r="M1098" i="1"/>
  <c r="L1098" i="1"/>
  <c r="K1098" i="1"/>
  <c r="I1098" i="1"/>
  <c r="E1098" i="1"/>
  <c r="M1097" i="1"/>
  <c r="L1097" i="1"/>
  <c r="K1097" i="1"/>
  <c r="J1097" i="1"/>
  <c r="I1097" i="1"/>
  <c r="E1097" i="1"/>
  <c r="M1096" i="1"/>
  <c r="L1096" i="1"/>
  <c r="K1096" i="1"/>
  <c r="J1096" i="1"/>
  <c r="I1096" i="1"/>
  <c r="E1096" i="1"/>
  <c r="N1095" i="1"/>
  <c r="I1095" i="1"/>
  <c r="E1095" i="1"/>
  <c r="M1094" i="1"/>
  <c r="L1094" i="1"/>
  <c r="K1094" i="1"/>
  <c r="J1094" i="1"/>
  <c r="I1094" i="1"/>
  <c r="E1094" i="1"/>
  <c r="M1093" i="1"/>
  <c r="L1093" i="1"/>
  <c r="K1093" i="1"/>
  <c r="J1093" i="1"/>
  <c r="I1093" i="1"/>
  <c r="E1093" i="1"/>
  <c r="M1092" i="1"/>
  <c r="L1092" i="1"/>
  <c r="K1092" i="1"/>
  <c r="J1092" i="1"/>
  <c r="I1092" i="1"/>
  <c r="E1092" i="1"/>
  <c r="M1091" i="1"/>
  <c r="L1091" i="1"/>
  <c r="K1091" i="1"/>
  <c r="J1091" i="1"/>
  <c r="I1091" i="1"/>
  <c r="E1091" i="1"/>
  <c r="M1090" i="1"/>
  <c r="L1090" i="1"/>
  <c r="K1090" i="1"/>
  <c r="J1090" i="1"/>
  <c r="I1090" i="1"/>
  <c r="E1090" i="1"/>
  <c r="M1089" i="1"/>
  <c r="L1089" i="1"/>
  <c r="K1089" i="1"/>
  <c r="J1089" i="1"/>
  <c r="I1089" i="1"/>
  <c r="E1089" i="1"/>
  <c r="M1088" i="1"/>
  <c r="L1088" i="1"/>
  <c r="K1088" i="1"/>
  <c r="J1088" i="1"/>
  <c r="I1088" i="1"/>
  <c r="E1088" i="1"/>
  <c r="M1087" i="1"/>
  <c r="L1087" i="1"/>
  <c r="K1087" i="1"/>
  <c r="J1087" i="1"/>
  <c r="I1087" i="1"/>
  <c r="E1087" i="1"/>
  <c r="M1086" i="1"/>
  <c r="L1086" i="1"/>
  <c r="K1086" i="1"/>
  <c r="J1086" i="1"/>
  <c r="I1086" i="1"/>
  <c r="E1086" i="1"/>
  <c r="N1085" i="1"/>
  <c r="I1085" i="1"/>
  <c r="E1085" i="1"/>
  <c r="M1084" i="1"/>
  <c r="L1084" i="1"/>
  <c r="K1084" i="1"/>
  <c r="J1084" i="1"/>
  <c r="I1084" i="1"/>
  <c r="E1084" i="1"/>
  <c r="J1083" i="1"/>
  <c r="N1083" i="1" s="1"/>
  <c r="I1083" i="1"/>
  <c r="E1083" i="1"/>
  <c r="M1082" i="1"/>
  <c r="L1082" i="1"/>
  <c r="K1082" i="1"/>
  <c r="J1082" i="1"/>
  <c r="I1082" i="1"/>
  <c r="E1082" i="1"/>
  <c r="M1081" i="1"/>
  <c r="L1081" i="1"/>
  <c r="I1081" i="1"/>
  <c r="E1081" i="1"/>
  <c r="M1080" i="1"/>
  <c r="L1080" i="1"/>
  <c r="K1080" i="1"/>
  <c r="J1080" i="1"/>
  <c r="I1080" i="1"/>
  <c r="E1080" i="1"/>
  <c r="M1079" i="1"/>
  <c r="L1079" i="1"/>
  <c r="K1079" i="1"/>
  <c r="J1079" i="1"/>
  <c r="I1079" i="1"/>
  <c r="E1079" i="1"/>
  <c r="M1078" i="1"/>
  <c r="L1078" i="1"/>
  <c r="K1078" i="1"/>
  <c r="J1078" i="1"/>
  <c r="I1078" i="1"/>
  <c r="E1078" i="1"/>
  <c r="M1077" i="1"/>
  <c r="L1077" i="1"/>
  <c r="K1077" i="1"/>
  <c r="J1077" i="1"/>
  <c r="I1077" i="1"/>
  <c r="E1077" i="1"/>
  <c r="M1076" i="1"/>
  <c r="L1076" i="1"/>
  <c r="K1076" i="1"/>
  <c r="J1076" i="1"/>
  <c r="I1076" i="1"/>
  <c r="E1076" i="1"/>
  <c r="M1075" i="1"/>
  <c r="L1075" i="1"/>
  <c r="K1075" i="1"/>
  <c r="J1075" i="1"/>
  <c r="I1075" i="1"/>
  <c r="E1075" i="1"/>
  <c r="M1074" i="1"/>
  <c r="L1074" i="1"/>
  <c r="K1074" i="1"/>
  <c r="J1074" i="1"/>
  <c r="I1074" i="1"/>
  <c r="E1074" i="1"/>
  <c r="M1073" i="1"/>
  <c r="L1073" i="1"/>
  <c r="K1073" i="1"/>
  <c r="J1073" i="1"/>
  <c r="I1073" i="1"/>
  <c r="E1073" i="1"/>
  <c r="M1072" i="1"/>
  <c r="L1072" i="1"/>
  <c r="K1072" i="1"/>
  <c r="J1072" i="1"/>
  <c r="I1072" i="1"/>
  <c r="E1072" i="1"/>
  <c r="M1071" i="1"/>
  <c r="L1071" i="1"/>
  <c r="K1071" i="1"/>
  <c r="J1071" i="1"/>
  <c r="I1071" i="1"/>
  <c r="E1071" i="1"/>
  <c r="M1070" i="1"/>
  <c r="L1070" i="1"/>
  <c r="K1070" i="1"/>
  <c r="J1070" i="1"/>
  <c r="I1070" i="1"/>
  <c r="E1070" i="1"/>
  <c r="M1069" i="1"/>
  <c r="L1069" i="1"/>
  <c r="K1069" i="1"/>
  <c r="J1069" i="1"/>
  <c r="I1069" i="1"/>
  <c r="E1069" i="1"/>
  <c r="M1068" i="1"/>
  <c r="L1068" i="1"/>
  <c r="K1068" i="1"/>
  <c r="J1068" i="1"/>
  <c r="I1068" i="1"/>
  <c r="E1068" i="1"/>
  <c r="M1067" i="1"/>
  <c r="L1067" i="1"/>
  <c r="K1067" i="1"/>
  <c r="J1067" i="1"/>
  <c r="I1067" i="1"/>
  <c r="E1067" i="1"/>
  <c r="M1066" i="1"/>
  <c r="L1066" i="1"/>
  <c r="K1066" i="1"/>
  <c r="J1066" i="1"/>
  <c r="I1066" i="1"/>
  <c r="E1066" i="1"/>
  <c r="N1065" i="1"/>
  <c r="I1065" i="1"/>
  <c r="E1065" i="1"/>
  <c r="L1064" i="1"/>
  <c r="K1064" i="1"/>
  <c r="J1064" i="1"/>
  <c r="I1064" i="1"/>
  <c r="E1064" i="1"/>
  <c r="N1063" i="1"/>
  <c r="I1063" i="1"/>
  <c r="E1063" i="1"/>
  <c r="M1062" i="1"/>
  <c r="L1062" i="1"/>
  <c r="K1062" i="1"/>
  <c r="J1062" i="1"/>
  <c r="I1062" i="1"/>
  <c r="E1062" i="1"/>
  <c r="M1061" i="1"/>
  <c r="L1061" i="1"/>
  <c r="K1061" i="1"/>
  <c r="I1061" i="1"/>
  <c r="E1061" i="1"/>
  <c r="M1060" i="1"/>
  <c r="L1060" i="1"/>
  <c r="K1060" i="1"/>
  <c r="J1060" i="1"/>
  <c r="I1060" i="1"/>
  <c r="E1060" i="1"/>
  <c r="M1059" i="1"/>
  <c r="L1059" i="1"/>
  <c r="K1059" i="1"/>
  <c r="J1059" i="1"/>
  <c r="I1059" i="1"/>
  <c r="E1059" i="1"/>
  <c r="M1058" i="1"/>
  <c r="L1058" i="1"/>
  <c r="K1058" i="1"/>
  <c r="J1058" i="1"/>
  <c r="I1058" i="1"/>
  <c r="E1058" i="1"/>
  <c r="M1057" i="1"/>
  <c r="L1057" i="1"/>
  <c r="K1057" i="1"/>
  <c r="J1057" i="1"/>
  <c r="I1057" i="1"/>
  <c r="E1057" i="1"/>
  <c r="M1056" i="1"/>
  <c r="L1056" i="1"/>
  <c r="K1056" i="1"/>
  <c r="J1056" i="1"/>
  <c r="I1056" i="1"/>
  <c r="E1056" i="1"/>
  <c r="M1055" i="1"/>
  <c r="L1055" i="1"/>
  <c r="K1055" i="1"/>
  <c r="J1055" i="1"/>
  <c r="I1055" i="1"/>
  <c r="E1055" i="1"/>
  <c r="M1054" i="1"/>
  <c r="L1054" i="1"/>
  <c r="K1054" i="1"/>
  <c r="J1054" i="1"/>
  <c r="I1054" i="1"/>
  <c r="E1054" i="1"/>
  <c r="M1053" i="1"/>
  <c r="L1053" i="1"/>
  <c r="K1053" i="1"/>
  <c r="J1053" i="1"/>
  <c r="I1053" i="1"/>
  <c r="E1053" i="1"/>
  <c r="N1045" i="1"/>
  <c r="I1045" i="1"/>
  <c r="E1045" i="1"/>
  <c r="N1044" i="1"/>
  <c r="I1044" i="1"/>
  <c r="E1044" i="1"/>
  <c r="N1043" i="1"/>
  <c r="I1043" i="1"/>
  <c r="E1043" i="1"/>
  <c r="N1042" i="1"/>
  <c r="I1042" i="1"/>
  <c r="E1042" i="1"/>
  <c r="N1041" i="1"/>
  <c r="I1041" i="1"/>
  <c r="E1041" i="1"/>
  <c r="N1040" i="1"/>
  <c r="I1040" i="1"/>
  <c r="E1040" i="1"/>
  <c r="N1039" i="1"/>
  <c r="I1039" i="1"/>
  <c r="E1039" i="1"/>
  <c r="N1038" i="1"/>
  <c r="I1038" i="1"/>
  <c r="E1038" i="1"/>
  <c r="N1037" i="1"/>
  <c r="I1037" i="1"/>
  <c r="E1037" i="1"/>
  <c r="N1036" i="1"/>
  <c r="I1036" i="1"/>
  <c r="E1036" i="1"/>
  <c r="N1035" i="1"/>
  <c r="I1035" i="1"/>
  <c r="E1035" i="1"/>
  <c r="N1034" i="1"/>
  <c r="I1034" i="1"/>
  <c r="E1034" i="1"/>
  <c r="N1033" i="1"/>
  <c r="I1033" i="1"/>
  <c r="E1033" i="1"/>
  <c r="N1032" i="1"/>
  <c r="I1032" i="1"/>
  <c r="E1032" i="1"/>
  <c r="N1031" i="1"/>
  <c r="I1031" i="1"/>
  <c r="E1031" i="1"/>
  <c r="N1030" i="1"/>
  <c r="I1030" i="1"/>
  <c r="E1030" i="1"/>
  <c r="N1029" i="1"/>
  <c r="I1029" i="1"/>
  <c r="E1029" i="1"/>
  <c r="N1028" i="1"/>
  <c r="I1028" i="1"/>
  <c r="E1028" i="1"/>
  <c r="N1027" i="1"/>
  <c r="I1027" i="1"/>
  <c r="E1027" i="1"/>
  <c r="N1026" i="1"/>
  <c r="I1026" i="1"/>
  <c r="E1026" i="1"/>
  <c r="N1025" i="1"/>
  <c r="I1025" i="1"/>
  <c r="E1025" i="1"/>
  <c r="N1024" i="1"/>
  <c r="I1024" i="1"/>
  <c r="E1024" i="1"/>
  <c r="N1023" i="1"/>
  <c r="I1023" i="1"/>
  <c r="E1023" i="1"/>
  <c r="N1022" i="1"/>
  <c r="I1022" i="1"/>
  <c r="E1022" i="1"/>
  <c r="N1021" i="1"/>
  <c r="I1021" i="1"/>
  <c r="E1021" i="1"/>
  <c r="N1020" i="1"/>
  <c r="I1020" i="1"/>
  <c r="E1020" i="1"/>
  <c r="N1019" i="1"/>
  <c r="I1019" i="1"/>
  <c r="E1019" i="1"/>
  <c r="N1018" i="1"/>
  <c r="I1018" i="1"/>
  <c r="E1018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E992" i="1"/>
  <c r="N991" i="1"/>
  <c r="N990" i="1"/>
  <c r="N989" i="1"/>
  <c r="N988" i="1"/>
  <c r="N987" i="1"/>
  <c r="I987" i="1"/>
  <c r="E987" i="1"/>
  <c r="N986" i="1"/>
  <c r="N985" i="1"/>
  <c r="N984" i="1"/>
  <c r="I984" i="1"/>
  <c r="E984" i="1"/>
  <c r="N983" i="1"/>
  <c r="N982" i="1"/>
  <c r="N981" i="1"/>
  <c r="N980" i="1"/>
  <c r="N979" i="1"/>
  <c r="N978" i="1"/>
  <c r="N977" i="1"/>
  <c r="N976" i="1"/>
  <c r="N975" i="1"/>
  <c r="N974" i="1"/>
  <c r="N973" i="1"/>
  <c r="I973" i="1"/>
  <c r="E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I959" i="1"/>
  <c r="E959" i="1"/>
  <c r="N958" i="1"/>
  <c r="I958" i="1"/>
  <c r="E958" i="1"/>
  <c r="N957" i="1"/>
  <c r="I957" i="1"/>
  <c r="E957" i="1"/>
  <c r="N956" i="1"/>
  <c r="I956" i="1"/>
  <c r="E956" i="1"/>
  <c r="N955" i="1"/>
  <c r="I955" i="1"/>
  <c r="E955" i="1"/>
  <c r="N954" i="1"/>
  <c r="I954" i="1"/>
  <c r="E954" i="1"/>
  <c r="N953" i="1"/>
  <c r="I953" i="1"/>
  <c r="E953" i="1"/>
  <c r="N952" i="1"/>
  <c r="I952" i="1"/>
  <c r="E952" i="1"/>
  <c r="N951" i="1"/>
  <c r="I951" i="1"/>
  <c r="E951" i="1"/>
  <c r="N950" i="1"/>
  <c r="I950" i="1"/>
  <c r="E950" i="1"/>
  <c r="N949" i="1"/>
  <c r="I949" i="1"/>
  <c r="E949" i="1"/>
  <c r="N948" i="1"/>
  <c r="I948" i="1"/>
  <c r="E948" i="1"/>
  <c r="N947" i="1"/>
  <c r="I947" i="1"/>
  <c r="E947" i="1"/>
  <c r="N946" i="1"/>
  <c r="I946" i="1"/>
  <c r="E946" i="1"/>
  <c r="N945" i="1"/>
  <c r="I945" i="1"/>
  <c r="E945" i="1"/>
  <c r="N944" i="1"/>
  <c r="I944" i="1"/>
  <c r="E944" i="1"/>
  <c r="N943" i="1"/>
  <c r="I943" i="1"/>
  <c r="E943" i="1"/>
  <c r="N942" i="1"/>
  <c r="I942" i="1"/>
  <c r="E942" i="1"/>
  <c r="N941" i="1"/>
  <c r="I941" i="1"/>
  <c r="E941" i="1"/>
  <c r="N940" i="1"/>
  <c r="I940" i="1"/>
  <c r="E940" i="1"/>
  <c r="N939" i="1"/>
  <c r="I939" i="1"/>
  <c r="E939" i="1"/>
  <c r="N938" i="1"/>
  <c r="I938" i="1"/>
  <c r="E938" i="1"/>
  <c r="N937" i="1"/>
  <c r="I937" i="1"/>
  <c r="E937" i="1"/>
  <c r="N936" i="1"/>
  <c r="I936" i="1"/>
  <c r="E936" i="1"/>
  <c r="N935" i="1"/>
  <c r="I935" i="1"/>
  <c r="E935" i="1"/>
  <c r="N934" i="1"/>
  <c r="I934" i="1"/>
  <c r="E934" i="1"/>
  <c r="N927" i="1"/>
  <c r="I927" i="1"/>
  <c r="E927" i="1"/>
  <c r="N926" i="1"/>
  <c r="I926" i="1"/>
  <c r="E926" i="1"/>
  <c r="N925" i="1"/>
  <c r="I925" i="1"/>
  <c r="E925" i="1"/>
  <c r="N924" i="1"/>
  <c r="I924" i="1"/>
  <c r="E924" i="1"/>
  <c r="N923" i="1"/>
  <c r="I923" i="1"/>
  <c r="E923" i="1"/>
  <c r="N922" i="1"/>
  <c r="I922" i="1"/>
  <c r="E922" i="1"/>
  <c r="N921" i="1"/>
  <c r="I921" i="1"/>
  <c r="E921" i="1"/>
  <c r="N920" i="1"/>
  <c r="I920" i="1"/>
  <c r="E920" i="1"/>
  <c r="N919" i="1"/>
  <c r="I919" i="1"/>
  <c r="E919" i="1"/>
  <c r="N918" i="1"/>
  <c r="I918" i="1"/>
  <c r="E918" i="1"/>
  <c r="N917" i="1"/>
  <c r="I917" i="1"/>
  <c r="E917" i="1"/>
  <c r="N916" i="1"/>
  <c r="I916" i="1"/>
  <c r="E916" i="1"/>
  <c r="N915" i="1"/>
  <c r="I915" i="1"/>
  <c r="E915" i="1"/>
  <c r="N914" i="1"/>
  <c r="I914" i="1"/>
  <c r="E914" i="1"/>
  <c r="N913" i="1"/>
  <c r="I913" i="1"/>
  <c r="E913" i="1"/>
  <c r="N912" i="1"/>
  <c r="I912" i="1"/>
  <c r="E912" i="1"/>
  <c r="N911" i="1"/>
  <c r="I911" i="1"/>
  <c r="E911" i="1"/>
  <c r="N910" i="1"/>
  <c r="I910" i="1"/>
  <c r="E910" i="1"/>
  <c r="N909" i="1"/>
  <c r="I909" i="1"/>
  <c r="E909" i="1"/>
  <c r="N908" i="1"/>
  <c r="I908" i="1"/>
  <c r="E908" i="1"/>
  <c r="N907" i="1"/>
  <c r="I907" i="1"/>
  <c r="E907" i="1"/>
  <c r="N906" i="1"/>
  <c r="I906" i="1"/>
  <c r="E906" i="1"/>
  <c r="N905" i="1"/>
  <c r="I905" i="1"/>
  <c r="E905" i="1"/>
  <c r="N904" i="1"/>
  <c r="I904" i="1"/>
  <c r="E904" i="1"/>
  <c r="N903" i="1"/>
  <c r="I903" i="1"/>
  <c r="E903" i="1"/>
  <c r="N902" i="1"/>
  <c r="I902" i="1"/>
  <c r="E902" i="1"/>
  <c r="N901" i="1"/>
  <c r="I901" i="1"/>
  <c r="E901" i="1"/>
  <c r="N900" i="1"/>
  <c r="I900" i="1"/>
  <c r="E900" i="1"/>
  <c r="N899" i="1"/>
  <c r="I899" i="1"/>
  <c r="E899" i="1"/>
  <c r="N898" i="1"/>
  <c r="I898" i="1"/>
  <c r="E898" i="1"/>
  <c r="N897" i="1"/>
  <c r="I897" i="1"/>
  <c r="E897" i="1"/>
  <c r="N896" i="1"/>
  <c r="I896" i="1"/>
  <c r="E896" i="1"/>
  <c r="N895" i="1"/>
  <c r="I895" i="1"/>
  <c r="E895" i="1"/>
  <c r="N894" i="1"/>
  <c r="I894" i="1"/>
  <c r="E894" i="1"/>
  <c r="N893" i="1"/>
  <c r="I893" i="1"/>
  <c r="E893" i="1"/>
  <c r="N892" i="1"/>
  <c r="I892" i="1"/>
  <c r="E892" i="1"/>
  <c r="N891" i="1"/>
  <c r="I891" i="1"/>
  <c r="E891" i="1"/>
  <c r="N890" i="1"/>
  <c r="I890" i="1"/>
  <c r="E890" i="1"/>
  <c r="N889" i="1"/>
  <c r="I889" i="1"/>
  <c r="E889" i="1"/>
  <c r="N888" i="1"/>
  <c r="I888" i="1"/>
  <c r="E888" i="1"/>
  <c r="N887" i="1"/>
  <c r="I887" i="1"/>
  <c r="E887" i="1"/>
  <c r="N886" i="1"/>
  <c r="I886" i="1"/>
  <c r="E886" i="1"/>
  <c r="N885" i="1"/>
  <c r="I885" i="1"/>
  <c r="E885" i="1"/>
  <c r="N884" i="1"/>
  <c r="I884" i="1"/>
  <c r="E884" i="1"/>
  <c r="N883" i="1"/>
  <c r="I883" i="1"/>
  <c r="E883" i="1"/>
  <c r="N882" i="1"/>
  <c r="I882" i="1"/>
  <c r="E882" i="1"/>
  <c r="N881" i="1"/>
  <c r="I881" i="1"/>
  <c r="E881" i="1"/>
  <c r="N880" i="1"/>
  <c r="I880" i="1"/>
  <c r="E880" i="1"/>
  <c r="N879" i="1"/>
  <c r="I879" i="1"/>
  <c r="E879" i="1"/>
  <c r="N872" i="1"/>
  <c r="I872" i="1"/>
  <c r="E872" i="1"/>
  <c r="N871" i="1"/>
  <c r="I871" i="1"/>
  <c r="E871" i="1"/>
  <c r="N870" i="1"/>
  <c r="I870" i="1"/>
  <c r="E870" i="1"/>
  <c r="N869" i="1"/>
  <c r="I869" i="1"/>
  <c r="E869" i="1"/>
  <c r="N868" i="1"/>
  <c r="I868" i="1"/>
  <c r="E868" i="1"/>
  <c r="N867" i="1"/>
  <c r="I867" i="1"/>
  <c r="E867" i="1"/>
  <c r="N866" i="1"/>
  <c r="I866" i="1"/>
  <c r="E866" i="1"/>
  <c r="N865" i="1"/>
  <c r="I865" i="1"/>
  <c r="E865" i="1"/>
  <c r="N864" i="1"/>
  <c r="I864" i="1"/>
  <c r="E864" i="1"/>
  <c r="N863" i="1"/>
  <c r="I863" i="1"/>
  <c r="E863" i="1"/>
  <c r="N862" i="1"/>
  <c r="I862" i="1"/>
  <c r="E862" i="1"/>
  <c r="N861" i="1"/>
  <c r="I861" i="1"/>
  <c r="E861" i="1"/>
  <c r="N860" i="1"/>
  <c r="I860" i="1"/>
  <c r="E860" i="1"/>
  <c r="N859" i="1"/>
  <c r="I859" i="1"/>
  <c r="E859" i="1"/>
  <c r="N858" i="1"/>
  <c r="I858" i="1"/>
  <c r="E858" i="1"/>
  <c r="N857" i="1"/>
  <c r="I857" i="1"/>
  <c r="E857" i="1"/>
  <c r="N856" i="1"/>
  <c r="I856" i="1"/>
  <c r="E856" i="1"/>
  <c r="N855" i="1"/>
  <c r="I855" i="1"/>
  <c r="E855" i="1"/>
  <c r="N854" i="1"/>
  <c r="I854" i="1"/>
  <c r="E854" i="1"/>
  <c r="N853" i="1"/>
  <c r="I853" i="1"/>
  <c r="E853" i="1"/>
  <c r="N852" i="1"/>
  <c r="I852" i="1"/>
  <c r="E852" i="1"/>
  <c r="N851" i="1"/>
  <c r="I851" i="1"/>
  <c r="E851" i="1"/>
  <c r="N850" i="1"/>
  <c r="I850" i="1"/>
  <c r="E850" i="1"/>
  <c r="N849" i="1"/>
  <c r="I849" i="1"/>
  <c r="E849" i="1"/>
  <c r="N848" i="1"/>
  <c r="I848" i="1"/>
  <c r="E848" i="1"/>
  <c r="N847" i="1"/>
  <c r="I847" i="1"/>
  <c r="E847" i="1"/>
  <c r="N846" i="1"/>
  <c r="I846" i="1"/>
  <c r="E846" i="1"/>
  <c r="N845" i="1"/>
  <c r="I845" i="1"/>
  <c r="E845" i="1"/>
  <c r="N844" i="1"/>
  <c r="I844" i="1"/>
  <c r="E844" i="1"/>
  <c r="N843" i="1"/>
  <c r="I843" i="1"/>
  <c r="E843" i="1"/>
  <c r="N842" i="1"/>
  <c r="I842" i="1"/>
  <c r="E842" i="1"/>
  <c r="N841" i="1"/>
  <c r="I841" i="1"/>
  <c r="E841" i="1"/>
  <c r="N840" i="1"/>
  <c r="I840" i="1"/>
  <c r="E840" i="1"/>
  <c r="N839" i="1"/>
  <c r="I839" i="1"/>
  <c r="E839" i="1"/>
  <c r="N838" i="1"/>
  <c r="I838" i="1"/>
  <c r="E838" i="1"/>
  <c r="N837" i="1"/>
  <c r="I837" i="1"/>
  <c r="E837" i="1"/>
  <c r="N836" i="1"/>
  <c r="I836" i="1"/>
  <c r="E836" i="1"/>
  <c r="N835" i="1"/>
  <c r="I835" i="1"/>
  <c r="E835" i="1"/>
  <c r="N834" i="1"/>
  <c r="I834" i="1"/>
  <c r="E834" i="1"/>
  <c r="N833" i="1"/>
  <c r="I833" i="1"/>
  <c r="E833" i="1"/>
  <c r="N832" i="1"/>
  <c r="I832" i="1"/>
  <c r="E832" i="1"/>
  <c r="N831" i="1"/>
  <c r="I831" i="1"/>
  <c r="E831" i="1"/>
  <c r="N830" i="1"/>
  <c r="I830" i="1"/>
  <c r="E830" i="1"/>
  <c r="N829" i="1"/>
  <c r="I829" i="1"/>
  <c r="E829" i="1"/>
  <c r="N828" i="1"/>
  <c r="I828" i="1"/>
  <c r="E828" i="1"/>
  <c r="N827" i="1"/>
  <c r="I827" i="1"/>
  <c r="E827" i="1"/>
  <c r="N826" i="1"/>
  <c r="I826" i="1"/>
  <c r="E826" i="1"/>
  <c r="N825" i="1"/>
  <c r="I825" i="1"/>
  <c r="E825" i="1"/>
  <c r="N824" i="1"/>
  <c r="I824" i="1"/>
  <c r="E824" i="1"/>
  <c r="N823" i="1"/>
  <c r="I823" i="1"/>
  <c r="E823" i="1"/>
  <c r="N822" i="1"/>
  <c r="I822" i="1"/>
  <c r="E822" i="1"/>
  <c r="N821" i="1"/>
  <c r="I821" i="1"/>
  <c r="E821" i="1"/>
  <c r="N820" i="1"/>
  <c r="I820" i="1"/>
  <c r="E820" i="1"/>
  <c r="N819" i="1"/>
  <c r="I819" i="1"/>
  <c r="E819" i="1"/>
  <c r="N818" i="1"/>
  <c r="I818" i="1"/>
  <c r="E818" i="1"/>
  <c r="N817" i="1"/>
  <c r="I817" i="1"/>
  <c r="E817" i="1"/>
  <c r="N816" i="1"/>
  <c r="I816" i="1"/>
  <c r="E816" i="1"/>
  <c r="N815" i="1"/>
  <c r="I815" i="1"/>
  <c r="E815" i="1"/>
  <c r="N814" i="1"/>
  <c r="I814" i="1"/>
  <c r="E814" i="1"/>
  <c r="N813" i="1"/>
  <c r="I813" i="1"/>
  <c r="E813" i="1"/>
  <c r="N812" i="1"/>
  <c r="I812" i="1"/>
  <c r="E812" i="1"/>
  <c r="N811" i="1"/>
  <c r="I811" i="1"/>
  <c r="E811" i="1"/>
  <c r="N810" i="1"/>
  <c r="I810" i="1"/>
  <c r="E810" i="1"/>
  <c r="N809" i="1"/>
  <c r="I809" i="1"/>
  <c r="E809" i="1"/>
  <c r="N808" i="1"/>
  <c r="I808" i="1"/>
  <c r="E808" i="1"/>
  <c r="N807" i="1"/>
  <c r="I807" i="1"/>
  <c r="E807" i="1"/>
  <c r="N806" i="1"/>
  <c r="I806" i="1"/>
  <c r="E806" i="1"/>
  <c r="N805" i="1"/>
  <c r="I805" i="1"/>
  <c r="E805" i="1"/>
  <c r="N804" i="1"/>
  <c r="I804" i="1"/>
  <c r="E804" i="1"/>
  <c r="N803" i="1"/>
  <c r="I803" i="1"/>
  <c r="E803" i="1"/>
  <c r="N802" i="1"/>
  <c r="I802" i="1"/>
  <c r="E802" i="1"/>
  <c r="N801" i="1"/>
  <c r="I801" i="1"/>
  <c r="E801" i="1"/>
  <c r="N800" i="1"/>
  <c r="I800" i="1"/>
  <c r="E800" i="1"/>
  <c r="N799" i="1"/>
  <c r="I799" i="1"/>
  <c r="E799" i="1"/>
  <c r="N798" i="1"/>
  <c r="I798" i="1"/>
  <c r="E798" i="1"/>
  <c r="N797" i="1"/>
  <c r="I797" i="1"/>
  <c r="E797" i="1"/>
  <c r="N796" i="1"/>
  <c r="I796" i="1"/>
  <c r="E796" i="1"/>
  <c r="N795" i="1"/>
  <c r="I795" i="1"/>
  <c r="E795" i="1"/>
  <c r="N794" i="1"/>
  <c r="I794" i="1"/>
  <c r="E794" i="1"/>
  <c r="N793" i="1"/>
  <c r="I793" i="1"/>
  <c r="E793" i="1"/>
  <c r="N792" i="1"/>
  <c r="I792" i="1"/>
  <c r="E792" i="1"/>
  <c r="N791" i="1"/>
  <c r="I791" i="1"/>
  <c r="E791" i="1"/>
  <c r="N790" i="1"/>
  <c r="I790" i="1"/>
  <c r="E790" i="1"/>
  <c r="N789" i="1"/>
  <c r="I789" i="1"/>
  <c r="E789" i="1"/>
  <c r="N788" i="1"/>
  <c r="I788" i="1"/>
  <c r="E788" i="1"/>
  <c r="N787" i="1"/>
  <c r="I787" i="1"/>
  <c r="E787" i="1"/>
  <c r="N786" i="1"/>
  <c r="I786" i="1"/>
  <c r="E786" i="1"/>
  <c r="N785" i="1"/>
  <c r="I785" i="1"/>
  <c r="E785" i="1"/>
  <c r="N784" i="1"/>
  <c r="I784" i="1"/>
  <c r="E784" i="1"/>
  <c r="N783" i="1"/>
  <c r="I783" i="1"/>
  <c r="E783" i="1"/>
  <c r="N782" i="1"/>
  <c r="I782" i="1"/>
  <c r="E782" i="1"/>
  <c r="N781" i="1"/>
  <c r="I781" i="1"/>
  <c r="E781" i="1"/>
  <c r="N780" i="1"/>
  <c r="I780" i="1"/>
  <c r="E780" i="1"/>
  <c r="N779" i="1"/>
  <c r="I779" i="1"/>
  <c r="E779" i="1"/>
  <c r="N778" i="1"/>
  <c r="I778" i="1"/>
  <c r="E778" i="1"/>
  <c r="N777" i="1"/>
  <c r="I777" i="1"/>
  <c r="E777" i="1"/>
  <c r="N776" i="1"/>
  <c r="I776" i="1"/>
  <c r="E776" i="1"/>
  <c r="N775" i="1"/>
  <c r="I775" i="1"/>
  <c r="E775" i="1"/>
  <c r="N774" i="1"/>
  <c r="I774" i="1"/>
  <c r="E774" i="1"/>
  <c r="N773" i="1"/>
  <c r="I773" i="1"/>
  <c r="E773" i="1"/>
  <c r="N772" i="1"/>
  <c r="I772" i="1"/>
  <c r="E772" i="1"/>
  <c r="N771" i="1"/>
  <c r="I771" i="1"/>
  <c r="E771" i="1"/>
  <c r="N770" i="1"/>
  <c r="I770" i="1"/>
  <c r="E770" i="1"/>
  <c r="N769" i="1"/>
  <c r="I769" i="1"/>
  <c r="E769" i="1"/>
  <c r="N768" i="1"/>
  <c r="I768" i="1"/>
  <c r="E768" i="1"/>
  <c r="N767" i="1"/>
  <c r="I767" i="1"/>
  <c r="E767" i="1"/>
  <c r="N766" i="1"/>
  <c r="I766" i="1"/>
  <c r="E766" i="1"/>
  <c r="N765" i="1"/>
  <c r="I765" i="1"/>
  <c r="E765" i="1"/>
  <c r="N764" i="1"/>
  <c r="I764" i="1"/>
  <c r="E764" i="1"/>
  <c r="N763" i="1"/>
  <c r="I763" i="1"/>
  <c r="E763" i="1"/>
  <c r="N762" i="1"/>
  <c r="I762" i="1"/>
  <c r="E762" i="1"/>
  <c r="N761" i="1"/>
  <c r="I761" i="1"/>
  <c r="E761" i="1"/>
  <c r="N760" i="1"/>
  <c r="I760" i="1"/>
  <c r="E760" i="1"/>
  <c r="N759" i="1"/>
  <c r="I759" i="1"/>
  <c r="E759" i="1"/>
  <c r="N758" i="1"/>
  <c r="I758" i="1"/>
  <c r="E758" i="1"/>
  <c r="N757" i="1"/>
  <c r="I757" i="1"/>
  <c r="E757" i="1"/>
  <c r="N756" i="1"/>
  <c r="I756" i="1"/>
  <c r="E756" i="1"/>
  <c r="N755" i="1"/>
  <c r="I755" i="1"/>
  <c r="E755" i="1"/>
  <c r="N754" i="1"/>
  <c r="I754" i="1"/>
  <c r="E754" i="1"/>
  <c r="N753" i="1"/>
  <c r="I753" i="1"/>
  <c r="E753" i="1"/>
  <c r="N752" i="1"/>
  <c r="I752" i="1"/>
  <c r="E752" i="1"/>
  <c r="N751" i="1"/>
  <c r="I751" i="1"/>
  <c r="E751" i="1"/>
  <c r="N750" i="1"/>
  <c r="I750" i="1"/>
  <c r="E750" i="1"/>
  <c r="N749" i="1"/>
  <c r="I749" i="1"/>
  <c r="E749" i="1"/>
  <c r="N748" i="1"/>
  <c r="I748" i="1"/>
  <c r="E748" i="1"/>
  <c r="N747" i="1"/>
  <c r="I747" i="1"/>
  <c r="E747" i="1"/>
  <c r="N746" i="1"/>
  <c r="I746" i="1"/>
  <c r="E746" i="1"/>
  <c r="N745" i="1"/>
  <c r="I745" i="1"/>
  <c r="E745" i="1"/>
  <c r="N744" i="1"/>
  <c r="I744" i="1"/>
  <c r="E744" i="1"/>
  <c r="N743" i="1"/>
  <c r="I743" i="1"/>
  <c r="E743" i="1"/>
  <c r="N742" i="1"/>
  <c r="I742" i="1"/>
  <c r="E742" i="1"/>
  <c r="N741" i="1"/>
  <c r="I741" i="1"/>
  <c r="E741" i="1"/>
  <c r="N740" i="1"/>
  <c r="I740" i="1"/>
  <c r="E740" i="1"/>
  <c r="N739" i="1"/>
  <c r="I739" i="1"/>
  <c r="E739" i="1"/>
  <c r="N738" i="1"/>
  <c r="I738" i="1"/>
  <c r="E738" i="1"/>
  <c r="N737" i="1"/>
  <c r="I737" i="1"/>
  <c r="E737" i="1"/>
  <c r="N736" i="1"/>
  <c r="I736" i="1"/>
  <c r="E736" i="1"/>
  <c r="N735" i="1"/>
  <c r="I735" i="1"/>
  <c r="E735" i="1"/>
  <c r="N734" i="1"/>
  <c r="I734" i="1"/>
  <c r="E734" i="1"/>
  <c r="N733" i="1"/>
  <c r="I733" i="1"/>
  <c r="E733" i="1"/>
  <c r="N732" i="1"/>
  <c r="I732" i="1"/>
  <c r="E732" i="1"/>
  <c r="N731" i="1"/>
  <c r="I731" i="1"/>
  <c r="E731" i="1"/>
  <c r="N730" i="1"/>
  <c r="I730" i="1"/>
  <c r="E730" i="1"/>
  <c r="N729" i="1"/>
  <c r="I729" i="1"/>
  <c r="E729" i="1"/>
  <c r="N728" i="1"/>
  <c r="I728" i="1"/>
  <c r="E728" i="1"/>
  <c r="N727" i="1"/>
  <c r="I727" i="1"/>
  <c r="E727" i="1"/>
  <c r="N726" i="1"/>
  <c r="I726" i="1"/>
  <c r="E726" i="1"/>
  <c r="N725" i="1"/>
  <c r="I725" i="1"/>
  <c r="E725" i="1"/>
  <c r="N724" i="1"/>
  <c r="I724" i="1"/>
  <c r="E724" i="1"/>
  <c r="N723" i="1"/>
  <c r="I723" i="1"/>
  <c r="E723" i="1"/>
  <c r="N722" i="1"/>
  <c r="I722" i="1"/>
  <c r="E722" i="1"/>
  <c r="N721" i="1"/>
  <c r="I721" i="1"/>
  <c r="E721" i="1"/>
  <c r="N720" i="1"/>
  <c r="I720" i="1"/>
  <c r="E720" i="1"/>
  <c r="N719" i="1"/>
  <c r="I719" i="1"/>
  <c r="E719" i="1"/>
  <c r="N718" i="1"/>
  <c r="I718" i="1"/>
  <c r="E718" i="1"/>
  <c r="N717" i="1"/>
  <c r="I717" i="1"/>
  <c r="E717" i="1"/>
  <c r="N716" i="1"/>
  <c r="I716" i="1"/>
  <c r="E716" i="1"/>
  <c r="N715" i="1"/>
  <c r="I715" i="1"/>
  <c r="E715" i="1"/>
  <c r="N714" i="1"/>
  <c r="I714" i="1"/>
  <c r="E714" i="1"/>
  <c r="N713" i="1"/>
  <c r="I713" i="1"/>
  <c r="E713" i="1"/>
  <c r="N712" i="1"/>
  <c r="I712" i="1"/>
  <c r="E712" i="1"/>
  <c r="N711" i="1"/>
  <c r="I711" i="1"/>
  <c r="E711" i="1"/>
  <c r="N710" i="1"/>
  <c r="I710" i="1"/>
  <c r="E710" i="1"/>
  <c r="N709" i="1"/>
  <c r="I709" i="1"/>
  <c r="E709" i="1"/>
  <c r="N708" i="1"/>
  <c r="I708" i="1"/>
  <c r="E708" i="1"/>
  <c r="N707" i="1"/>
  <c r="I707" i="1"/>
  <c r="E707" i="1"/>
  <c r="N706" i="1"/>
  <c r="I706" i="1"/>
  <c r="E706" i="1"/>
  <c r="N705" i="1"/>
  <c r="I705" i="1"/>
  <c r="E705" i="1"/>
  <c r="N704" i="1"/>
  <c r="I704" i="1"/>
  <c r="E704" i="1"/>
  <c r="N703" i="1"/>
  <c r="I703" i="1"/>
  <c r="E703" i="1"/>
  <c r="N702" i="1"/>
  <c r="I702" i="1"/>
  <c r="E702" i="1"/>
  <c r="N701" i="1"/>
  <c r="I701" i="1"/>
  <c r="E701" i="1"/>
  <c r="N700" i="1"/>
  <c r="I700" i="1"/>
  <c r="E700" i="1"/>
  <c r="N699" i="1"/>
  <c r="I699" i="1"/>
  <c r="E699" i="1"/>
  <c r="N698" i="1"/>
  <c r="I698" i="1"/>
  <c r="E698" i="1"/>
  <c r="N697" i="1"/>
  <c r="I697" i="1"/>
  <c r="E697" i="1"/>
  <c r="N696" i="1"/>
  <c r="I696" i="1"/>
  <c r="E696" i="1"/>
  <c r="N695" i="1"/>
  <c r="I695" i="1"/>
  <c r="E695" i="1"/>
  <c r="N694" i="1"/>
  <c r="I694" i="1"/>
  <c r="E694" i="1"/>
  <c r="N693" i="1"/>
  <c r="I693" i="1"/>
  <c r="E693" i="1"/>
  <c r="N692" i="1"/>
  <c r="I692" i="1"/>
  <c r="E692" i="1"/>
  <c r="N691" i="1"/>
  <c r="I691" i="1"/>
  <c r="E691" i="1"/>
  <c r="N690" i="1"/>
  <c r="I690" i="1"/>
  <c r="E690" i="1"/>
  <c r="N689" i="1"/>
  <c r="I689" i="1"/>
  <c r="E689" i="1"/>
  <c r="N688" i="1"/>
  <c r="I688" i="1"/>
  <c r="E688" i="1"/>
  <c r="N687" i="1"/>
  <c r="I687" i="1"/>
  <c r="E687" i="1"/>
  <c r="N686" i="1"/>
  <c r="I686" i="1"/>
  <c r="E686" i="1"/>
  <c r="N685" i="1"/>
  <c r="I685" i="1"/>
  <c r="E685" i="1"/>
  <c r="N684" i="1"/>
  <c r="I684" i="1"/>
  <c r="E684" i="1"/>
  <c r="N683" i="1"/>
  <c r="I683" i="1"/>
  <c r="E683" i="1"/>
  <c r="N682" i="1"/>
  <c r="I682" i="1"/>
  <c r="E682" i="1"/>
  <c r="N681" i="1"/>
  <c r="I681" i="1"/>
  <c r="E681" i="1"/>
  <c r="N680" i="1"/>
  <c r="I680" i="1"/>
  <c r="E680" i="1"/>
  <c r="N679" i="1"/>
  <c r="I679" i="1"/>
  <c r="E679" i="1"/>
  <c r="N678" i="1"/>
  <c r="I678" i="1"/>
  <c r="E678" i="1"/>
  <c r="N677" i="1"/>
  <c r="I677" i="1"/>
  <c r="E677" i="1"/>
  <c r="N676" i="1"/>
  <c r="I676" i="1"/>
  <c r="E676" i="1"/>
  <c r="N675" i="1"/>
  <c r="I675" i="1"/>
  <c r="E675" i="1"/>
  <c r="N674" i="1"/>
  <c r="I674" i="1"/>
  <c r="E674" i="1"/>
  <c r="N673" i="1"/>
  <c r="I673" i="1"/>
  <c r="E673" i="1"/>
  <c r="N672" i="1"/>
  <c r="I672" i="1"/>
  <c r="E672" i="1"/>
  <c r="N671" i="1"/>
  <c r="I671" i="1"/>
  <c r="E671" i="1"/>
  <c r="N670" i="1"/>
  <c r="I670" i="1"/>
  <c r="E670" i="1"/>
  <c r="N669" i="1"/>
  <c r="I669" i="1"/>
  <c r="E669" i="1"/>
  <c r="N668" i="1"/>
  <c r="I668" i="1"/>
  <c r="E668" i="1"/>
  <c r="N667" i="1"/>
  <c r="I667" i="1"/>
  <c r="E667" i="1"/>
  <c r="N666" i="1"/>
  <c r="I666" i="1"/>
  <c r="E666" i="1"/>
  <c r="N665" i="1"/>
  <c r="I665" i="1"/>
  <c r="E665" i="1"/>
  <c r="N664" i="1"/>
  <c r="I664" i="1"/>
  <c r="E664" i="1"/>
  <c r="N663" i="1"/>
  <c r="I663" i="1"/>
  <c r="E663" i="1"/>
  <c r="N662" i="1"/>
  <c r="I662" i="1"/>
  <c r="E662" i="1"/>
  <c r="N661" i="1"/>
  <c r="I661" i="1"/>
  <c r="E661" i="1"/>
  <c r="N660" i="1"/>
  <c r="I660" i="1"/>
  <c r="E660" i="1"/>
  <c r="N659" i="1"/>
  <c r="I659" i="1"/>
  <c r="E659" i="1"/>
  <c r="N658" i="1"/>
  <c r="I658" i="1"/>
  <c r="E658" i="1"/>
  <c r="N657" i="1"/>
  <c r="I657" i="1"/>
  <c r="E657" i="1"/>
  <c r="N656" i="1"/>
  <c r="I656" i="1"/>
  <c r="E656" i="1"/>
  <c r="N655" i="1"/>
  <c r="I655" i="1"/>
  <c r="E655" i="1"/>
  <c r="N654" i="1"/>
  <c r="I654" i="1"/>
  <c r="E654" i="1"/>
  <c r="N653" i="1"/>
  <c r="I653" i="1"/>
  <c r="E653" i="1"/>
  <c r="N652" i="1"/>
  <c r="I652" i="1"/>
  <c r="E652" i="1"/>
  <c r="N651" i="1"/>
  <c r="I651" i="1"/>
  <c r="E651" i="1"/>
  <c r="N650" i="1"/>
  <c r="I650" i="1"/>
  <c r="E650" i="1"/>
  <c r="N649" i="1"/>
  <c r="I649" i="1"/>
  <c r="E649" i="1"/>
  <c r="N648" i="1"/>
  <c r="I648" i="1"/>
  <c r="E648" i="1"/>
  <c r="N647" i="1"/>
  <c r="I647" i="1"/>
  <c r="E647" i="1"/>
  <c r="N646" i="1"/>
  <c r="I646" i="1"/>
  <c r="E646" i="1"/>
  <c r="N645" i="1"/>
  <c r="I645" i="1"/>
  <c r="E645" i="1"/>
  <c r="N644" i="1"/>
  <c r="I644" i="1"/>
  <c r="E644" i="1"/>
  <c r="N643" i="1"/>
  <c r="I643" i="1"/>
  <c r="E643" i="1"/>
  <c r="N642" i="1"/>
  <c r="I642" i="1"/>
  <c r="E642" i="1"/>
  <c r="N641" i="1"/>
  <c r="I641" i="1"/>
  <c r="E641" i="1"/>
  <c r="N640" i="1"/>
  <c r="I640" i="1"/>
  <c r="E640" i="1"/>
  <c r="N639" i="1"/>
  <c r="I639" i="1"/>
  <c r="E639" i="1"/>
  <c r="N638" i="1"/>
  <c r="I638" i="1"/>
  <c r="E638" i="1"/>
  <c r="N637" i="1"/>
  <c r="I637" i="1"/>
  <c r="E637" i="1"/>
  <c r="N636" i="1"/>
  <c r="I636" i="1"/>
  <c r="E636" i="1"/>
  <c r="N635" i="1"/>
  <c r="I635" i="1"/>
  <c r="E635" i="1"/>
  <c r="N634" i="1"/>
  <c r="I634" i="1"/>
  <c r="E634" i="1"/>
  <c r="N633" i="1"/>
  <c r="I633" i="1"/>
  <c r="E633" i="1"/>
  <c r="N632" i="1"/>
  <c r="I632" i="1"/>
  <c r="E632" i="1"/>
  <c r="N631" i="1"/>
  <c r="I631" i="1"/>
  <c r="E631" i="1"/>
  <c r="N630" i="1"/>
  <c r="I630" i="1"/>
  <c r="E630" i="1"/>
  <c r="N629" i="1"/>
  <c r="I629" i="1"/>
  <c r="E629" i="1"/>
  <c r="N628" i="1"/>
  <c r="I628" i="1"/>
  <c r="E628" i="1"/>
  <c r="N627" i="1"/>
  <c r="I627" i="1"/>
  <c r="E627" i="1"/>
  <c r="N626" i="1"/>
  <c r="I626" i="1"/>
  <c r="E626" i="1"/>
  <c r="N625" i="1"/>
  <c r="I625" i="1"/>
  <c r="E625" i="1"/>
  <c r="N624" i="1"/>
  <c r="I624" i="1"/>
  <c r="E624" i="1"/>
  <c r="N623" i="1"/>
  <c r="I623" i="1"/>
  <c r="E623" i="1"/>
  <c r="N622" i="1"/>
  <c r="I622" i="1"/>
  <c r="E622" i="1"/>
  <c r="N621" i="1"/>
  <c r="I621" i="1"/>
  <c r="E621" i="1"/>
  <c r="N620" i="1"/>
  <c r="I620" i="1"/>
  <c r="E620" i="1"/>
  <c r="N619" i="1"/>
  <c r="I619" i="1"/>
  <c r="E619" i="1"/>
  <c r="N618" i="1"/>
  <c r="I618" i="1"/>
  <c r="E618" i="1"/>
  <c r="N617" i="1"/>
  <c r="I617" i="1"/>
  <c r="E617" i="1"/>
  <c r="N616" i="1"/>
  <c r="I616" i="1"/>
  <c r="E616" i="1"/>
  <c r="N615" i="1"/>
  <c r="I615" i="1"/>
  <c r="E615" i="1"/>
  <c r="N614" i="1"/>
  <c r="I614" i="1"/>
  <c r="E614" i="1"/>
  <c r="N613" i="1"/>
  <c r="I613" i="1"/>
  <c r="E613" i="1"/>
  <c r="N612" i="1"/>
  <c r="I612" i="1"/>
  <c r="E612" i="1"/>
  <c r="N611" i="1"/>
  <c r="I611" i="1"/>
  <c r="E611" i="1"/>
  <c r="N610" i="1"/>
  <c r="I610" i="1"/>
  <c r="E610" i="1"/>
  <c r="N609" i="1"/>
  <c r="I609" i="1"/>
  <c r="E609" i="1"/>
  <c r="N608" i="1"/>
  <c r="I608" i="1"/>
  <c r="E608" i="1"/>
  <c r="N607" i="1"/>
  <c r="I607" i="1"/>
  <c r="E607" i="1"/>
  <c r="N606" i="1"/>
  <c r="I606" i="1"/>
  <c r="E606" i="1"/>
  <c r="N605" i="1"/>
  <c r="I605" i="1"/>
  <c r="E605" i="1"/>
  <c r="N604" i="1"/>
  <c r="I604" i="1"/>
  <c r="E604" i="1"/>
  <c r="N603" i="1"/>
  <c r="I603" i="1"/>
  <c r="E603" i="1"/>
  <c r="N602" i="1"/>
  <c r="I602" i="1"/>
  <c r="E602" i="1"/>
  <c r="N601" i="1"/>
  <c r="I601" i="1"/>
  <c r="E601" i="1"/>
  <c r="N600" i="1"/>
  <c r="I600" i="1"/>
  <c r="E600" i="1"/>
  <c r="N599" i="1"/>
  <c r="I599" i="1"/>
  <c r="E599" i="1"/>
  <c r="N598" i="1"/>
  <c r="I598" i="1"/>
  <c r="E598" i="1"/>
  <c r="N597" i="1"/>
  <c r="I597" i="1"/>
  <c r="E597" i="1"/>
  <c r="N596" i="1"/>
  <c r="I596" i="1"/>
  <c r="E596" i="1"/>
  <c r="N595" i="1"/>
  <c r="I595" i="1"/>
  <c r="E595" i="1"/>
  <c r="N594" i="1"/>
  <c r="I594" i="1"/>
  <c r="E594" i="1"/>
  <c r="N593" i="1"/>
  <c r="I593" i="1"/>
  <c r="E593" i="1"/>
  <c r="N592" i="1"/>
  <c r="I592" i="1"/>
  <c r="E592" i="1"/>
  <c r="N591" i="1"/>
  <c r="I591" i="1"/>
  <c r="E591" i="1"/>
  <c r="N590" i="1"/>
  <c r="I590" i="1"/>
  <c r="E590" i="1"/>
  <c r="N589" i="1"/>
  <c r="I589" i="1"/>
  <c r="E589" i="1"/>
  <c r="N588" i="1"/>
  <c r="I588" i="1"/>
  <c r="E588" i="1"/>
  <c r="N587" i="1"/>
  <c r="I587" i="1"/>
  <c r="E587" i="1"/>
  <c r="N586" i="1"/>
  <c r="I586" i="1"/>
  <c r="E586" i="1"/>
  <c r="N585" i="1"/>
  <c r="I585" i="1"/>
  <c r="E585" i="1"/>
  <c r="N584" i="1"/>
  <c r="I584" i="1"/>
  <c r="E584" i="1"/>
  <c r="N583" i="1"/>
  <c r="I583" i="1"/>
  <c r="E583" i="1"/>
  <c r="N582" i="1"/>
  <c r="I582" i="1"/>
  <c r="E582" i="1"/>
  <c r="N581" i="1"/>
  <c r="I581" i="1"/>
  <c r="E581" i="1"/>
  <c r="N580" i="1"/>
  <c r="I580" i="1"/>
  <c r="E580" i="1"/>
  <c r="N579" i="1"/>
  <c r="I579" i="1"/>
  <c r="E579" i="1"/>
  <c r="N578" i="1"/>
  <c r="I578" i="1"/>
  <c r="E578" i="1"/>
  <c r="N577" i="1"/>
  <c r="I577" i="1"/>
  <c r="E577" i="1"/>
  <c r="N576" i="1"/>
  <c r="I576" i="1"/>
  <c r="E576" i="1"/>
  <c r="N575" i="1"/>
  <c r="I575" i="1"/>
  <c r="E575" i="1"/>
  <c r="N574" i="1"/>
  <c r="I574" i="1"/>
  <c r="E574" i="1"/>
  <c r="N573" i="1"/>
  <c r="I573" i="1"/>
  <c r="E573" i="1"/>
  <c r="N572" i="1"/>
  <c r="I572" i="1"/>
  <c r="E572" i="1"/>
  <c r="N571" i="1"/>
  <c r="I571" i="1"/>
  <c r="E571" i="1"/>
  <c r="N570" i="1"/>
  <c r="I570" i="1"/>
  <c r="E570" i="1"/>
  <c r="N569" i="1"/>
  <c r="I569" i="1"/>
  <c r="E569" i="1"/>
  <c r="N568" i="1"/>
  <c r="I568" i="1"/>
  <c r="E568" i="1"/>
  <c r="N567" i="1"/>
  <c r="I567" i="1"/>
  <c r="E567" i="1"/>
  <c r="N566" i="1"/>
  <c r="I566" i="1"/>
  <c r="E566" i="1"/>
  <c r="N565" i="1"/>
  <c r="I565" i="1"/>
  <c r="E565" i="1"/>
  <c r="N564" i="1"/>
  <c r="I564" i="1"/>
  <c r="E564" i="1"/>
  <c r="N563" i="1"/>
  <c r="I563" i="1"/>
  <c r="E563" i="1"/>
  <c r="N562" i="1"/>
  <c r="I562" i="1"/>
  <c r="E562" i="1"/>
  <c r="N561" i="1"/>
  <c r="I561" i="1"/>
  <c r="E561" i="1"/>
  <c r="N560" i="1"/>
  <c r="I560" i="1"/>
  <c r="E560" i="1"/>
  <c r="N559" i="1"/>
  <c r="I559" i="1"/>
  <c r="E559" i="1"/>
  <c r="N558" i="1"/>
  <c r="I558" i="1"/>
  <c r="E558" i="1"/>
  <c r="N557" i="1"/>
  <c r="I557" i="1"/>
  <c r="E557" i="1"/>
  <c r="N556" i="1"/>
  <c r="I556" i="1"/>
  <c r="E556" i="1"/>
  <c r="N555" i="1"/>
  <c r="I555" i="1"/>
  <c r="E555" i="1"/>
  <c r="N554" i="1"/>
  <c r="I554" i="1"/>
  <c r="E554" i="1"/>
  <c r="N553" i="1"/>
  <c r="I553" i="1"/>
  <c r="E553" i="1"/>
  <c r="N552" i="1"/>
  <c r="I552" i="1"/>
  <c r="E552" i="1"/>
  <c r="N551" i="1"/>
  <c r="I551" i="1"/>
  <c r="E551" i="1"/>
  <c r="N550" i="1"/>
  <c r="I550" i="1"/>
  <c r="E550" i="1"/>
  <c r="N549" i="1"/>
  <c r="I549" i="1"/>
  <c r="E549" i="1"/>
  <c r="N548" i="1"/>
  <c r="I548" i="1"/>
  <c r="E548" i="1"/>
  <c r="N547" i="1"/>
  <c r="I547" i="1"/>
  <c r="E547" i="1"/>
  <c r="N546" i="1"/>
  <c r="I546" i="1"/>
  <c r="E546" i="1"/>
  <c r="N545" i="1"/>
  <c r="I545" i="1"/>
  <c r="E545" i="1"/>
  <c r="N544" i="1"/>
  <c r="I544" i="1"/>
  <c r="E544" i="1"/>
  <c r="N543" i="1"/>
  <c r="I543" i="1"/>
  <c r="E543" i="1"/>
  <c r="N542" i="1"/>
  <c r="I542" i="1"/>
  <c r="E542" i="1"/>
  <c r="N541" i="1"/>
  <c r="I541" i="1"/>
  <c r="E541" i="1"/>
  <c r="N540" i="1"/>
  <c r="I540" i="1"/>
  <c r="E540" i="1"/>
  <c r="N539" i="1"/>
  <c r="I539" i="1"/>
  <c r="E539" i="1"/>
  <c r="N538" i="1"/>
  <c r="I538" i="1"/>
  <c r="E538" i="1"/>
  <c r="N537" i="1"/>
  <c r="I537" i="1"/>
  <c r="E537" i="1"/>
  <c r="N536" i="1"/>
  <c r="I536" i="1"/>
  <c r="E536" i="1"/>
  <c r="N535" i="1"/>
  <c r="I535" i="1"/>
  <c r="E535" i="1"/>
  <c r="N534" i="1"/>
  <c r="I534" i="1"/>
  <c r="E534" i="1"/>
  <c r="N533" i="1"/>
  <c r="I533" i="1"/>
  <c r="E533" i="1"/>
  <c r="N532" i="1"/>
  <c r="I532" i="1"/>
  <c r="E532" i="1"/>
  <c r="N531" i="1"/>
  <c r="I531" i="1"/>
  <c r="E531" i="1"/>
  <c r="N530" i="1"/>
  <c r="I530" i="1"/>
  <c r="E530" i="1"/>
  <c r="N529" i="1"/>
  <c r="I529" i="1"/>
  <c r="E529" i="1"/>
  <c r="N528" i="1"/>
  <c r="I528" i="1"/>
  <c r="E528" i="1"/>
  <c r="N527" i="1"/>
  <c r="I527" i="1"/>
  <c r="E527" i="1"/>
  <c r="N526" i="1"/>
  <c r="I526" i="1"/>
  <c r="E526" i="1"/>
  <c r="N525" i="1"/>
  <c r="I525" i="1"/>
  <c r="E525" i="1"/>
  <c r="N524" i="1"/>
  <c r="I524" i="1"/>
  <c r="E524" i="1"/>
  <c r="N523" i="1"/>
  <c r="I523" i="1"/>
  <c r="E523" i="1"/>
  <c r="N522" i="1"/>
  <c r="I522" i="1"/>
  <c r="E522" i="1"/>
  <c r="N521" i="1"/>
  <c r="I521" i="1"/>
  <c r="E521" i="1"/>
  <c r="N520" i="1"/>
  <c r="I520" i="1"/>
  <c r="E520" i="1"/>
  <c r="N519" i="1"/>
  <c r="I519" i="1"/>
  <c r="E519" i="1"/>
  <c r="N518" i="1"/>
  <c r="I518" i="1"/>
  <c r="E518" i="1"/>
  <c r="N517" i="1"/>
  <c r="I517" i="1"/>
  <c r="E517" i="1"/>
  <c r="N516" i="1"/>
  <c r="I516" i="1"/>
  <c r="E516" i="1"/>
  <c r="N515" i="1"/>
  <c r="I515" i="1"/>
  <c r="E515" i="1"/>
  <c r="N514" i="1"/>
  <c r="I514" i="1"/>
  <c r="E514" i="1"/>
  <c r="N513" i="1"/>
  <c r="I513" i="1"/>
  <c r="E513" i="1"/>
  <c r="N512" i="1"/>
  <c r="I512" i="1"/>
  <c r="E512" i="1"/>
  <c r="N511" i="1"/>
  <c r="I511" i="1"/>
  <c r="E511" i="1"/>
  <c r="N510" i="1"/>
  <c r="I510" i="1"/>
  <c r="E510" i="1"/>
  <c r="N509" i="1"/>
  <c r="I509" i="1"/>
  <c r="E509" i="1"/>
  <c r="N508" i="1"/>
  <c r="I508" i="1"/>
  <c r="E508" i="1"/>
  <c r="N507" i="1"/>
  <c r="I507" i="1"/>
  <c r="E507" i="1"/>
  <c r="N506" i="1"/>
  <c r="I506" i="1"/>
  <c r="E506" i="1"/>
  <c r="N505" i="1"/>
  <c r="I505" i="1"/>
  <c r="E505" i="1"/>
  <c r="N504" i="1"/>
  <c r="I504" i="1"/>
  <c r="E504" i="1"/>
  <c r="N503" i="1"/>
  <c r="I503" i="1"/>
  <c r="E503" i="1"/>
  <c r="N502" i="1"/>
  <c r="I502" i="1"/>
  <c r="E502" i="1"/>
  <c r="N501" i="1"/>
  <c r="I501" i="1"/>
  <c r="E501" i="1"/>
  <c r="N500" i="1"/>
  <c r="I500" i="1"/>
  <c r="E500" i="1"/>
  <c r="N499" i="1"/>
  <c r="I499" i="1"/>
  <c r="E499" i="1"/>
  <c r="N498" i="1"/>
  <c r="I498" i="1"/>
  <c r="E498" i="1"/>
  <c r="N497" i="1"/>
  <c r="I497" i="1"/>
  <c r="E497" i="1"/>
  <c r="N496" i="1"/>
  <c r="I496" i="1"/>
  <c r="E496" i="1"/>
  <c r="N495" i="1"/>
  <c r="I495" i="1"/>
  <c r="E495" i="1"/>
  <c r="N494" i="1"/>
  <c r="I494" i="1"/>
  <c r="E494" i="1"/>
  <c r="N493" i="1"/>
  <c r="I493" i="1"/>
  <c r="E493" i="1"/>
  <c r="N492" i="1"/>
  <c r="I492" i="1"/>
  <c r="E492" i="1"/>
  <c r="N491" i="1"/>
  <c r="I491" i="1"/>
  <c r="E491" i="1"/>
  <c r="N490" i="1"/>
  <c r="I490" i="1"/>
  <c r="E490" i="1"/>
  <c r="N489" i="1"/>
  <c r="I489" i="1"/>
  <c r="E489" i="1"/>
  <c r="N488" i="1"/>
  <c r="I488" i="1"/>
  <c r="E488" i="1"/>
  <c r="N487" i="1"/>
  <c r="I487" i="1"/>
  <c r="E487" i="1"/>
  <c r="N486" i="1"/>
  <c r="I486" i="1"/>
  <c r="E486" i="1"/>
  <c r="N485" i="1"/>
  <c r="I485" i="1"/>
  <c r="E485" i="1"/>
  <c r="N484" i="1"/>
  <c r="I484" i="1"/>
  <c r="E484" i="1"/>
  <c r="N483" i="1"/>
  <c r="I483" i="1"/>
  <c r="E483" i="1"/>
  <c r="N482" i="1"/>
  <c r="I482" i="1"/>
  <c r="E482" i="1"/>
  <c r="N481" i="1"/>
  <c r="I481" i="1"/>
  <c r="E481" i="1"/>
  <c r="N480" i="1"/>
  <c r="I480" i="1"/>
  <c r="E480" i="1"/>
  <c r="N479" i="1"/>
  <c r="I479" i="1"/>
  <c r="E479" i="1"/>
  <c r="N478" i="1"/>
  <c r="I478" i="1"/>
  <c r="E478" i="1"/>
  <c r="N477" i="1"/>
  <c r="I477" i="1"/>
  <c r="E477" i="1"/>
  <c r="N476" i="1"/>
  <c r="I476" i="1"/>
  <c r="E476" i="1"/>
  <c r="N475" i="1"/>
  <c r="I475" i="1"/>
  <c r="E475" i="1"/>
  <c r="N474" i="1"/>
  <c r="I474" i="1"/>
  <c r="E474" i="1"/>
  <c r="N473" i="1"/>
  <c r="I473" i="1"/>
  <c r="E473" i="1"/>
  <c r="N472" i="1"/>
  <c r="I472" i="1"/>
  <c r="E472" i="1"/>
  <c r="N471" i="1"/>
  <c r="I471" i="1"/>
  <c r="E471" i="1"/>
  <c r="N470" i="1"/>
  <c r="I470" i="1"/>
  <c r="E470" i="1"/>
  <c r="N469" i="1"/>
  <c r="I469" i="1"/>
  <c r="E469" i="1"/>
  <c r="N468" i="1"/>
  <c r="I468" i="1"/>
  <c r="E468" i="1"/>
  <c r="N467" i="1"/>
  <c r="I467" i="1"/>
  <c r="E467" i="1"/>
  <c r="N466" i="1"/>
  <c r="I466" i="1"/>
  <c r="E466" i="1"/>
  <c r="N465" i="1"/>
  <c r="I465" i="1"/>
  <c r="E465" i="1"/>
  <c r="N464" i="1"/>
  <c r="I464" i="1"/>
  <c r="E464" i="1"/>
  <c r="N463" i="1"/>
  <c r="I463" i="1"/>
  <c r="E463" i="1"/>
  <c r="N462" i="1"/>
  <c r="I462" i="1"/>
  <c r="E462" i="1"/>
  <c r="N461" i="1"/>
  <c r="I461" i="1"/>
  <c r="E461" i="1"/>
  <c r="N460" i="1"/>
  <c r="I460" i="1"/>
  <c r="E460" i="1"/>
  <c r="N459" i="1"/>
  <c r="I459" i="1"/>
  <c r="E459" i="1"/>
  <c r="N458" i="1"/>
  <c r="I458" i="1"/>
  <c r="E458" i="1"/>
  <c r="N457" i="1"/>
  <c r="I457" i="1"/>
  <c r="E457" i="1"/>
  <c r="N456" i="1"/>
  <c r="I456" i="1"/>
  <c r="E456" i="1"/>
  <c r="N455" i="1"/>
  <c r="I455" i="1"/>
  <c r="E455" i="1"/>
  <c r="N454" i="1"/>
  <c r="I454" i="1"/>
  <c r="E454" i="1"/>
  <c r="N453" i="1"/>
  <c r="I453" i="1"/>
  <c r="E453" i="1"/>
  <c r="N452" i="1"/>
  <c r="I452" i="1"/>
  <c r="E452" i="1"/>
  <c r="N451" i="1"/>
  <c r="I451" i="1"/>
  <c r="E451" i="1"/>
  <c r="N450" i="1"/>
  <c r="I450" i="1"/>
  <c r="E450" i="1"/>
  <c r="N449" i="1"/>
  <c r="I449" i="1"/>
  <c r="E449" i="1"/>
  <c r="N448" i="1"/>
  <c r="I448" i="1"/>
  <c r="E448" i="1"/>
  <c r="N447" i="1"/>
  <c r="I447" i="1"/>
  <c r="E447" i="1"/>
  <c r="N446" i="1"/>
  <c r="I446" i="1"/>
  <c r="E446" i="1"/>
  <c r="N445" i="1"/>
  <c r="I445" i="1"/>
  <c r="E445" i="1"/>
  <c r="N444" i="1"/>
  <c r="I444" i="1"/>
  <c r="E444" i="1"/>
  <c r="N443" i="1"/>
  <c r="I443" i="1"/>
  <c r="E443" i="1"/>
  <c r="N442" i="1"/>
  <c r="I442" i="1"/>
  <c r="E442" i="1"/>
  <c r="N441" i="1"/>
  <c r="I441" i="1"/>
  <c r="E441" i="1"/>
  <c r="N440" i="1"/>
  <c r="I440" i="1"/>
  <c r="E440" i="1"/>
  <c r="N439" i="1"/>
  <c r="I439" i="1"/>
  <c r="E439" i="1"/>
  <c r="N438" i="1"/>
  <c r="I438" i="1"/>
  <c r="E438" i="1"/>
  <c r="N437" i="1"/>
  <c r="I437" i="1"/>
  <c r="E437" i="1"/>
  <c r="N436" i="1"/>
  <c r="I436" i="1"/>
  <c r="E436" i="1"/>
  <c r="N435" i="1"/>
  <c r="I435" i="1"/>
  <c r="E435" i="1"/>
  <c r="N434" i="1"/>
  <c r="I434" i="1"/>
  <c r="E434" i="1"/>
  <c r="N433" i="1"/>
  <c r="I433" i="1"/>
  <c r="E433" i="1"/>
  <c r="N432" i="1"/>
  <c r="I432" i="1"/>
  <c r="E432" i="1"/>
  <c r="N431" i="1"/>
  <c r="I431" i="1"/>
  <c r="E431" i="1"/>
  <c r="N430" i="1"/>
  <c r="I430" i="1"/>
  <c r="E430" i="1"/>
  <c r="N429" i="1"/>
  <c r="I429" i="1"/>
  <c r="E429" i="1"/>
  <c r="N428" i="1"/>
  <c r="I428" i="1"/>
  <c r="E428" i="1"/>
  <c r="N427" i="1"/>
  <c r="I427" i="1"/>
  <c r="E427" i="1"/>
  <c r="N426" i="1"/>
  <c r="I426" i="1"/>
  <c r="E426" i="1"/>
  <c r="N425" i="1"/>
  <c r="I425" i="1"/>
  <c r="E425" i="1"/>
  <c r="N424" i="1"/>
  <c r="I424" i="1"/>
  <c r="E424" i="1"/>
  <c r="N423" i="1"/>
  <c r="I423" i="1"/>
  <c r="E423" i="1"/>
  <c r="N422" i="1"/>
  <c r="I422" i="1"/>
  <c r="E422" i="1"/>
  <c r="N421" i="1"/>
  <c r="I421" i="1"/>
  <c r="E421" i="1"/>
  <c r="N420" i="1"/>
  <c r="I420" i="1"/>
  <c r="E420" i="1"/>
  <c r="N419" i="1"/>
  <c r="I419" i="1"/>
  <c r="E419" i="1"/>
  <c r="N418" i="1"/>
  <c r="I418" i="1"/>
  <c r="E418" i="1"/>
  <c r="N417" i="1"/>
  <c r="I417" i="1"/>
  <c r="E417" i="1"/>
  <c r="N416" i="1"/>
  <c r="I416" i="1"/>
  <c r="E416" i="1"/>
  <c r="N415" i="1"/>
  <c r="I415" i="1"/>
  <c r="E415" i="1"/>
  <c r="N414" i="1"/>
  <c r="I414" i="1"/>
  <c r="E414" i="1"/>
  <c r="N413" i="1"/>
  <c r="I413" i="1"/>
  <c r="E413" i="1"/>
  <c r="N412" i="1"/>
  <c r="I412" i="1"/>
  <c r="E412" i="1"/>
  <c r="N411" i="1"/>
  <c r="I411" i="1"/>
  <c r="E411" i="1"/>
  <c r="N410" i="1"/>
  <c r="I410" i="1"/>
  <c r="E410" i="1"/>
  <c r="N409" i="1"/>
  <c r="I409" i="1"/>
  <c r="E409" i="1"/>
  <c r="N408" i="1"/>
  <c r="I408" i="1"/>
  <c r="E408" i="1"/>
  <c r="N407" i="1"/>
  <c r="I407" i="1"/>
  <c r="E407" i="1"/>
  <c r="N406" i="1"/>
  <c r="I406" i="1"/>
  <c r="E406" i="1"/>
  <c r="N405" i="1"/>
  <c r="I405" i="1"/>
  <c r="E405" i="1"/>
  <c r="N404" i="1"/>
  <c r="I404" i="1"/>
  <c r="E404" i="1"/>
  <c r="N403" i="1"/>
  <c r="I403" i="1"/>
  <c r="E403" i="1"/>
  <c r="N402" i="1"/>
  <c r="I402" i="1"/>
  <c r="E402" i="1"/>
  <c r="N401" i="1"/>
  <c r="I401" i="1"/>
  <c r="E401" i="1"/>
  <c r="N400" i="1"/>
  <c r="I400" i="1"/>
  <c r="E400" i="1"/>
  <c r="N399" i="1"/>
  <c r="I399" i="1"/>
  <c r="E399" i="1"/>
  <c r="N398" i="1"/>
  <c r="I398" i="1"/>
  <c r="E398" i="1"/>
  <c r="N397" i="1"/>
  <c r="I397" i="1"/>
  <c r="E397" i="1"/>
  <c r="N396" i="1"/>
  <c r="I396" i="1"/>
  <c r="E396" i="1"/>
  <c r="N395" i="1"/>
  <c r="I395" i="1"/>
  <c r="E395" i="1"/>
  <c r="N394" i="1"/>
  <c r="I394" i="1"/>
  <c r="E394" i="1"/>
  <c r="N393" i="1"/>
  <c r="I393" i="1"/>
  <c r="E393" i="1"/>
  <c r="N392" i="1"/>
  <c r="I392" i="1"/>
  <c r="E392" i="1"/>
  <c r="N391" i="1"/>
  <c r="I391" i="1"/>
  <c r="E391" i="1"/>
  <c r="N390" i="1"/>
  <c r="I390" i="1"/>
  <c r="E390" i="1"/>
  <c r="N389" i="1"/>
  <c r="I389" i="1"/>
  <c r="E389" i="1"/>
  <c r="N388" i="1"/>
  <c r="I388" i="1"/>
  <c r="E388" i="1"/>
  <c r="N387" i="1"/>
  <c r="I387" i="1"/>
  <c r="E387" i="1"/>
  <c r="N386" i="1"/>
  <c r="I386" i="1"/>
  <c r="E386" i="1"/>
  <c r="N385" i="1"/>
  <c r="I385" i="1"/>
  <c r="E385" i="1"/>
  <c r="N384" i="1"/>
  <c r="I384" i="1"/>
  <c r="E384" i="1"/>
  <c r="N383" i="1"/>
  <c r="I383" i="1"/>
  <c r="E383" i="1"/>
  <c r="N382" i="1"/>
  <c r="I382" i="1"/>
  <c r="E382" i="1"/>
  <c r="N381" i="1"/>
  <c r="I381" i="1"/>
  <c r="E381" i="1"/>
  <c r="N380" i="1"/>
  <c r="I380" i="1"/>
  <c r="E380" i="1"/>
  <c r="N379" i="1"/>
  <c r="I379" i="1"/>
  <c r="E379" i="1"/>
  <c r="N378" i="1"/>
  <c r="I378" i="1"/>
  <c r="E378" i="1"/>
  <c r="N377" i="1"/>
  <c r="I377" i="1"/>
  <c r="E377" i="1"/>
  <c r="N376" i="1"/>
  <c r="I376" i="1"/>
  <c r="E376" i="1"/>
  <c r="N375" i="1"/>
  <c r="I375" i="1"/>
  <c r="E375" i="1"/>
  <c r="N374" i="1"/>
  <c r="I374" i="1"/>
  <c r="E374" i="1"/>
  <c r="N373" i="1"/>
  <c r="I373" i="1"/>
  <c r="E373" i="1"/>
  <c r="N372" i="1"/>
  <c r="I372" i="1"/>
  <c r="E372" i="1"/>
  <c r="N371" i="1"/>
  <c r="I371" i="1"/>
  <c r="E371" i="1"/>
  <c r="N370" i="1"/>
  <c r="I370" i="1"/>
  <c r="E370" i="1"/>
  <c r="N369" i="1"/>
  <c r="I369" i="1"/>
  <c r="E369" i="1"/>
  <c r="N368" i="1"/>
  <c r="I368" i="1"/>
  <c r="E368" i="1"/>
  <c r="N367" i="1"/>
  <c r="I367" i="1"/>
  <c r="E367" i="1"/>
  <c r="N366" i="1"/>
  <c r="I366" i="1"/>
  <c r="E366" i="1"/>
  <c r="N365" i="1"/>
  <c r="I365" i="1"/>
  <c r="E365" i="1"/>
  <c r="N364" i="1"/>
  <c r="I364" i="1"/>
  <c r="E364" i="1"/>
  <c r="N363" i="1"/>
  <c r="I363" i="1"/>
  <c r="E363" i="1"/>
  <c r="N362" i="1"/>
  <c r="I362" i="1"/>
  <c r="E362" i="1"/>
  <c r="N361" i="1"/>
  <c r="I361" i="1"/>
  <c r="E361" i="1"/>
  <c r="N360" i="1"/>
  <c r="I360" i="1"/>
  <c r="E360" i="1"/>
  <c r="N359" i="1"/>
  <c r="I359" i="1"/>
  <c r="E359" i="1"/>
  <c r="N358" i="1"/>
  <c r="I358" i="1"/>
  <c r="E358" i="1"/>
  <c r="N357" i="1"/>
  <c r="I357" i="1"/>
  <c r="E357" i="1"/>
  <c r="N356" i="1"/>
  <c r="I356" i="1"/>
  <c r="E356" i="1"/>
  <c r="N355" i="1"/>
  <c r="I355" i="1"/>
  <c r="E355" i="1"/>
  <c r="N354" i="1"/>
  <c r="I354" i="1"/>
  <c r="E354" i="1"/>
  <c r="N353" i="1"/>
  <c r="I353" i="1"/>
  <c r="E353" i="1"/>
  <c r="N352" i="1"/>
  <c r="I352" i="1"/>
  <c r="E352" i="1"/>
  <c r="N351" i="1"/>
  <c r="I351" i="1"/>
  <c r="E351" i="1"/>
  <c r="N350" i="1"/>
  <c r="I350" i="1"/>
  <c r="E350" i="1"/>
  <c r="N349" i="1"/>
  <c r="I349" i="1"/>
  <c r="E349" i="1"/>
  <c r="N348" i="1"/>
  <c r="I348" i="1"/>
  <c r="E348" i="1"/>
  <c r="N347" i="1"/>
  <c r="I347" i="1"/>
  <c r="E347" i="1"/>
  <c r="N346" i="1"/>
  <c r="I346" i="1"/>
  <c r="E346" i="1"/>
  <c r="N345" i="1"/>
  <c r="I345" i="1"/>
  <c r="E345" i="1"/>
  <c r="N344" i="1"/>
  <c r="I344" i="1"/>
  <c r="E344" i="1"/>
  <c r="N343" i="1"/>
  <c r="I343" i="1"/>
  <c r="E343" i="1"/>
  <c r="N342" i="1"/>
  <c r="I342" i="1"/>
  <c r="E342" i="1"/>
  <c r="N341" i="1"/>
  <c r="I341" i="1"/>
  <c r="E341" i="1"/>
  <c r="N340" i="1"/>
  <c r="I340" i="1"/>
  <c r="E340" i="1"/>
  <c r="N339" i="1"/>
  <c r="I339" i="1"/>
  <c r="E339" i="1"/>
  <c r="N338" i="1"/>
  <c r="I338" i="1"/>
  <c r="E338" i="1"/>
  <c r="N337" i="1"/>
  <c r="I337" i="1"/>
  <c r="E337" i="1"/>
  <c r="N336" i="1"/>
  <c r="I336" i="1"/>
  <c r="E336" i="1"/>
  <c r="N335" i="1"/>
  <c r="I335" i="1"/>
  <c r="E335" i="1"/>
  <c r="N334" i="1"/>
  <c r="I334" i="1"/>
  <c r="E334" i="1"/>
  <c r="N333" i="1"/>
  <c r="I333" i="1"/>
  <c r="E333" i="1"/>
  <c r="N332" i="1"/>
  <c r="I332" i="1"/>
  <c r="E332" i="1"/>
  <c r="N331" i="1"/>
  <c r="I331" i="1"/>
  <c r="E331" i="1"/>
  <c r="N330" i="1"/>
  <c r="I330" i="1"/>
  <c r="E330" i="1"/>
  <c r="N329" i="1"/>
  <c r="I329" i="1"/>
  <c r="E329" i="1"/>
  <c r="N328" i="1"/>
  <c r="I328" i="1"/>
  <c r="E328" i="1"/>
  <c r="N327" i="1"/>
  <c r="I327" i="1"/>
  <c r="E327" i="1"/>
  <c r="N326" i="1"/>
  <c r="I326" i="1"/>
  <c r="E326" i="1"/>
  <c r="N325" i="1"/>
  <c r="I325" i="1"/>
  <c r="E325" i="1"/>
  <c r="N324" i="1"/>
  <c r="I324" i="1"/>
  <c r="E324" i="1"/>
  <c r="N323" i="1"/>
  <c r="I323" i="1"/>
  <c r="E323" i="1"/>
  <c r="N322" i="1"/>
  <c r="I322" i="1"/>
  <c r="E322" i="1"/>
  <c r="N321" i="1"/>
  <c r="I321" i="1"/>
  <c r="E321" i="1"/>
  <c r="N320" i="1"/>
  <c r="I320" i="1"/>
  <c r="E320" i="1"/>
  <c r="N319" i="1"/>
  <c r="I319" i="1"/>
  <c r="E319" i="1"/>
  <c r="N318" i="1"/>
  <c r="I318" i="1"/>
  <c r="E318" i="1"/>
  <c r="N317" i="1"/>
  <c r="I317" i="1"/>
  <c r="E317" i="1"/>
  <c r="N316" i="1"/>
  <c r="I316" i="1"/>
  <c r="E316" i="1"/>
  <c r="N315" i="1"/>
  <c r="I315" i="1"/>
  <c r="E315" i="1"/>
  <c r="N314" i="1"/>
  <c r="I314" i="1"/>
  <c r="E314" i="1"/>
  <c r="N313" i="1"/>
  <c r="I313" i="1"/>
  <c r="E313" i="1"/>
  <c r="N312" i="1"/>
  <c r="I312" i="1"/>
  <c r="E312" i="1"/>
  <c r="N311" i="1"/>
  <c r="I311" i="1"/>
  <c r="E311" i="1"/>
  <c r="N310" i="1"/>
  <c r="I310" i="1"/>
  <c r="E310" i="1"/>
  <c r="N309" i="1"/>
  <c r="I309" i="1"/>
  <c r="E309" i="1"/>
  <c r="N308" i="1"/>
  <c r="I308" i="1"/>
  <c r="E308" i="1"/>
  <c r="N307" i="1"/>
  <c r="I307" i="1"/>
  <c r="E307" i="1"/>
  <c r="N306" i="1"/>
  <c r="I306" i="1"/>
  <c r="E306" i="1"/>
  <c r="N305" i="1"/>
  <c r="I305" i="1"/>
  <c r="E305" i="1"/>
  <c r="N304" i="1"/>
  <c r="I304" i="1"/>
  <c r="E304" i="1"/>
  <c r="N303" i="1"/>
  <c r="I303" i="1"/>
  <c r="E303" i="1"/>
  <c r="N302" i="1"/>
  <c r="I302" i="1"/>
  <c r="E302" i="1"/>
  <c r="N301" i="1"/>
  <c r="I301" i="1"/>
  <c r="E301" i="1"/>
  <c r="N300" i="1"/>
  <c r="I300" i="1"/>
  <c r="E300" i="1"/>
  <c r="N299" i="1"/>
  <c r="I299" i="1"/>
  <c r="E299" i="1"/>
  <c r="N298" i="1"/>
  <c r="I298" i="1"/>
  <c r="E298" i="1"/>
  <c r="N297" i="1"/>
  <c r="I297" i="1"/>
  <c r="E297" i="1"/>
  <c r="N296" i="1"/>
  <c r="I296" i="1"/>
  <c r="E296" i="1"/>
  <c r="N295" i="1"/>
  <c r="I295" i="1"/>
  <c r="E295" i="1"/>
  <c r="N294" i="1"/>
  <c r="I294" i="1"/>
  <c r="E294" i="1"/>
  <c r="N293" i="1"/>
  <c r="I293" i="1"/>
  <c r="E293" i="1"/>
  <c r="N292" i="1"/>
  <c r="I292" i="1"/>
  <c r="E292" i="1"/>
  <c r="N291" i="1"/>
  <c r="I291" i="1"/>
  <c r="E291" i="1"/>
  <c r="N290" i="1"/>
  <c r="I290" i="1"/>
  <c r="E290" i="1"/>
  <c r="N289" i="1"/>
  <c r="I289" i="1"/>
  <c r="E289" i="1"/>
  <c r="N288" i="1"/>
  <c r="I288" i="1"/>
  <c r="E288" i="1"/>
  <c r="N287" i="1"/>
  <c r="I287" i="1"/>
  <c r="E287" i="1"/>
  <c r="N286" i="1"/>
  <c r="I286" i="1"/>
  <c r="E286" i="1"/>
  <c r="N285" i="1"/>
  <c r="I285" i="1"/>
  <c r="E285" i="1"/>
  <c r="N284" i="1"/>
  <c r="I284" i="1"/>
  <c r="E284" i="1"/>
  <c r="N283" i="1"/>
  <c r="I283" i="1"/>
  <c r="E283" i="1"/>
  <c r="N282" i="1"/>
  <c r="I282" i="1"/>
  <c r="E282" i="1"/>
  <c r="N281" i="1"/>
  <c r="I281" i="1"/>
  <c r="E281" i="1"/>
  <c r="N280" i="1"/>
  <c r="I280" i="1"/>
  <c r="E280" i="1"/>
  <c r="N279" i="1"/>
  <c r="I279" i="1"/>
  <c r="E279" i="1"/>
  <c r="N278" i="1"/>
  <c r="I278" i="1"/>
  <c r="E278" i="1"/>
  <c r="N277" i="1"/>
  <c r="I277" i="1"/>
  <c r="E277" i="1"/>
  <c r="N276" i="1"/>
  <c r="I276" i="1"/>
  <c r="E276" i="1"/>
  <c r="N275" i="1"/>
  <c r="I275" i="1"/>
  <c r="E275" i="1"/>
  <c r="N274" i="1"/>
  <c r="I274" i="1"/>
  <c r="E274" i="1"/>
  <c r="N273" i="1"/>
  <c r="I273" i="1"/>
  <c r="E273" i="1"/>
  <c r="N272" i="1"/>
  <c r="I272" i="1"/>
  <c r="E272" i="1"/>
  <c r="N271" i="1"/>
  <c r="I271" i="1"/>
  <c r="E271" i="1"/>
  <c r="N270" i="1"/>
  <c r="I270" i="1"/>
  <c r="E270" i="1"/>
  <c r="N269" i="1"/>
  <c r="I269" i="1"/>
  <c r="E269" i="1"/>
  <c r="N268" i="1"/>
  <c r="I268" i="1"/>
  <c r="E268" i="1"/>
  <c r="N267" i="1"/>
  <c r="I267" i="1"/>
  <c r="E267" i="1"/>
  <c r="N266" i="1"/>
  <c r="I266" i="1"/>
  <c r="E266" i="1"/>
  <c r="N265" i="1"/>
  <c r="I265" i="1"/>
  <c r="E265" i="1"/>
  <c r="N264" i="1"/>
  <c r="I264" i="1"/>
  <c r="E264" i="1"/>
  <c r="N257" i="1"/>
  <c r="I257" i="1"/>
  <c r="E257" i="1"/>
  <c r="N256" i="1"/>
  <c r="I256" i="1"/>
  <c r="E256" i="1"/>
  <c r="N255" i="1"/>
  <c r="I255" i="1"/>
  <c r="E255" i="1"/>
  <c r="N254" i="1"/>
  <c r="I254" i="1"/>
  <c r="E254" i="1"/>
  <c r="N253" i="1"/>
  <c r="I253" i="1"/>
  <c r="E253" i="1"/>
  <c r="N252" i="1"/>
  <c r="I252" i="1"/>
  <c r="E252" i="1"/>
  <c r="N251" i="1"/>
  <c r="I251" i="1"/>
  <c r="E251" i="1"/>
  <c r="N250" i="1"/>
  <c r="I250" i="1"/>
  <c r="E250" i="1"/>
  <c r="N249" i="1"/>
  <c r="I249" i="1"/>
  <c r="E249" i="1"/>
  <c r="N248" i="1"/>
  <c r="I248" i="1"/>
  <c r="E248" i="1"/>
  <c r="N247" i="1"/>
  <c r="I247" i="1"/>
  <c r="E247" i="1"/>
  <c r="N246" i="1"/>
  <c r="I246" i="1"/>
  <c r="E246" i="1"/>
  <c r="N245" i="1"/>
  <c r="I245" i="1"/>
  <c r="E245" i="1"/>
  <c r="N244" i="1"/>
  <c r="I244" i="1"/>
  <c r="E244" i="1"/>
  <c r="N243" i="1"/>
  <c r="I243" i="1"/>
  <c r="E243" i="1"/>
  <c r="N242" i="1"/>
  <c r="I242" i="1"/>
  <c r="E242" i="1"/>
  <c r="N241" i="1"/>
  <c r="I241" i="1"/>
  <c r="E241" i="1"/>
  <c r="N240" i="1"/>
  <c r="I240" i="1"/>
  <c r="E240" i="1"/>
  <c r="N239" i="1"/>
  <c r="I239" i="1"/>
  <c r="E239" i="1"/>
  <c r="N231" i="1"/>
  <c r="E231" i="1"/>
  <c r="N230" i="1"/>
  <c r="I230" i="1"/>
  <c r="E230" i="1"/>
  <c r="N229" i="1"/>
  <c r="I229" i="1"/>
  <c r="E229" i="1"/>
  <c r="N228" i="1"/>
  <c r="I228" i="1"/>
  <c r="E228" i="1"/>
  <c r="N227" i="1"/>
  <c r="I227" i="1"/>
  <c r="E227" i="1"/>
  <c r="N226" i="1"/>
  <c r="I226" i="1"/>
  <c r="E226" i="1"/>
  <c r="N225" i="1"/>
  <c r="E225" i="1"/>
  <c r="N224" i="1"/>
  <c r="E224" i="1"/>
  <c r="N223" i="1"/>
  <c r="I223" i="1"/>
  <c r="E223" i="1"/>
  <c r="N222" i="1"/>
  <c r="E222" i="1"/>
  <c r="N221" i="1"/>
  <c r="E221" i="1"/>
  <c r="N220" i="1"/>
  <c r="E220" i="1"/>
  <c r="N219" i="1"/>
  <c r="E219" i="1"/>
  <c r="N218" i="1"/>
  <c r="I218" i="1"/>
  <c r="E218" i="1"/>
  <c r="N217" i="1"/>
  <c r="I217" i="1"/>
  <c r="E217" i="1"/>
  <c r="N216" i="1"/>
  <c r="I216" i="1"/>
  <c r="E216" i="1"/>
  <c r="N215" i="1"/>
  <c r="I215" i="1"/>
  <c r="E215" i="1"/>
  <c r="N214" i="1"/>
  <c r="I214" i="1"/>
  <c r="E214" i="1"/>
  <c r="N213" i="1"/>
  <c r="I213" i="1"/>
  <c r="E213" i="1"/>
  <c r="N212" i="1"/>
  <c r="I212" i="1"/>
  <c r="E212" i="1"/>
  <c r="N211" i="1"/>
  <c r="I211" i="1"/>
  <c r="E211" i="1"/>
  <c r="N210" i="1"/>
  <c r="I210" i="1"/>
  <c r="E210" i="1"/>
  <c r="N209" i="1"/>
  <c r="I209" i="1"/>
  <c r="E209" i="1"/>
  <c r="N208" i="1"/>
  <c r="I208" i="1"/>
  <c r="E208" i="1"/>
  <c r="N207" i="1"/>
  <c r="E207" i="1"/>
  <c r="N206" i="1"/>
  <c r="E206" i="1"/>
  <c r="N205" i="1"/>
  <c r="E205" i="1"/>
  <c r="N204" i="1"/>
  <c r="E204" i="1"/>
  <c r="N203" i="1"/>
  <c r="E203" i="1"/>
  <c r="N202" i="1"/>
  <c r="E202" i="1"/>
  <c r="N201" i="1"/>
  <c r="E201" i="1"/>
  <c r="N200" i="1"/>
  <c r="E200" i="1"/>
  <c r="N199" i="1"/>
  <c r="I199" i="1"/>
  <c r="E199" i="1"/>
  <c r="N198" i="1"/>
  <c r="I198" i="1"/>
  <c r="E198" i="1"/>
  <c r="N197" i="1"/>
  <c r="I197" i="1"/>
  <c r="E197" i="1"/>
  <c r="N196" i="1"/>
  <c r="I196" i="1"/>
  <c r="E196" i="1"/>
  <c r="N195" i="1"/>
  <c r="I195" i="1"/>
  <c r="E195" i="1"/>
  <c r="N194" i="1"/>
  <c r="I194" i="1"/>
  <c r="E194" i="1"/>
  <c r="N193" i="1"/>
  <c r="I193" i="1"/>
  <c r="E193" i="1"/>
  <c r="N192" i="1"/>
  <c r="I192" i="1"/>
  <c r="E192" i="1"/>
  <c r="N191" i="1"/>
  <c r="I191" i="1"/>
  <c r="E191" i="1"/>
  <c r="N190" i="1"/>
  <c r="I190" i="1"/>
  <c r="E190" i="1"/>
  <c r="N189" i="1"/>
  <c r="I189" i="1"/>
  <c r="E189" i="1"/>
  <c r="N188" i="1"/>
  <c r="I188" i="1"/>
  <c r="E188" i="1"/>
  <c r="N187" i="1"/>
  <c r="I187" i="1"/>
  <c r="E187" i="1"/>
  <c r="N186" i="1"/>
  <c r="I186" i="1"/>
  <c r="E186" i="1"/>
  <c r="N185" i="1"/>
  <c r="I185" i="1"/>
  <c r="E185" i="1"/>
  <c r="N184" i="1"/>
  <c r="I184" i="1"/>
  <c r="E184" i="1"/>
  <c r="N183" i="1"/>
  <c r="I183" i="1"/>
  <c r="E183" i="1"/>
  <c r="N182" i="1"/>
  <c r="I182" i="1"/>
  <c r="E182" i="1"/>
  <c r="N181" i="1"/>
  <c r="I181" i="1"/>
  <c r="E181" i="1"/>
  <c r="N180" i="1"/>
  <c r="I180" i="1"/>
  <c r="E180" i="1"/>
  <c r="N179" i="1"/>
  <c r="I179" i="1"/>
  <c r="E179" i="1"/>
  <c r="N178" i="1"/>
  <c r="I178" i="1"/>
  <c r="E178" i="1"/>
  <c r="N177" i="1"/>
  <c r="I177" i="1"/>
  <c r="E177" i="1"/>
  <c r="N176" i="1"/>
  <c r="I176" i="1"/>
  <c r="E176" i="1"/>
  <c r="N175" i="1"/>
  <c r="I175" i="1"/>
  <c r="E175" i="1"/>
  <c r="N174" i="1"/>
  <c r="I174" i="1"/>
  <c r="E174" i="1"/>
  <c r="N173" i="1"/>
  <c r="I173" i="1"/>
  <c r="E173" i="1"/>
  <c r="N172" i="1"/>
  <c r="I172" i="1"/>
  <c r="E172" i="1"/>
  <c r="N171" i="1"/>
  <c r="I171" i="1"/>
  <c r="E171" i="1"/>
  <c r="N170" i="1"/>
  <c r="I170" i="1"/>
  <c r="E170" i="1"/>
  <c r="N169" i="1"/>
  <c r="I169" i="1"/>
  <c r="E169" i="1"/>
  <c r="N168" i="1"/>
  <c r="I168" i="1"/>
  <c r="E168" i="1"/>
  <c r="N167" i="1"/>
  <c r="I167" i="1"/>
  <c r="E167" i="1"/>
  <c r="N166" i="1"/>
  <c r="I166" i="1"/>
  <c r="E166" i="1"/>
  <c r="N165" i="1"/>
  <c r="I165" i="1"/>
  <c r="E165" i="1"/>
  <c r="N164" i="1"/>
  <c r="I164" i="1"/>
  <c r="E164" i="1"/>
  <c r="N163" i="1"/>
  <c r="I163" i="1"/>
  <c r="E163" i="1"/>
  <c r="N162" i="1"/>
  <c r="I162" i="1"/>
  <c r="E162" i="1"/>
  <c r="N161" i="1"/>
  <c r="I161" i="1"/>
  <c r="E161" i="1"/>
  <c r="N160" i="1"/>
  <c r="I160" i="1"/>
  <c r="E160" i="1"/>
  <c r="N159" i="1"/>
  <c r="I159" i="1"/>
  <c r="E159" i="1"/>
  <c r="N158" i="1"/>
  <c r="I158" i="1"/>
  <c r="E158" i="1"/>
  <c r="N157" i="1"/>
  <c r="I157" i="1"/>
  <c r="E157" i="1"/>
  <c r="N156" i="1"/>
  <c r="I156" i="1"/>
  <c r="E156" i="1"/>
  <c r="N155" i="1"/>
  <c r="I155" i="1"/>
  <c r="E155" i="1"/>
  <c r="I150" i="1"/>
  <c r="E150" i="1"/>
  <c r="N148" i="1"/>
  <c r="I148" i="1"/>
  <c r="E148" i="1"/>
  <c r="N147" i="1"/>
  <c r="I147" i="1"/>
  <c r="E147" i="1"/>
  <c r="N146" i="1"/>
  <c r="I146" i="1"/>
  <c r="E146" i="1"/>
  <c r="N145" i="1"/>
  <c r="I145" i="1"/>
  <c r="E145" i="1"/>
  <c r="N144" i="1"/>
  <c r="I144" i="1"/>
  <c r="E144" i="1"/>
  <c r="N143" i="1"/>
  <c r="I143" i="1"/>
  <c r="E143" i="1"/>
  <c r="N142" i="1"/>
  <c r="I142" i="1"/>
  <c r="E142" i="1"/>
  <c r="N141" i="1"/>
  <c r="I141" i="1"/>
  <c r="E141" i="1"/>
  <c r="N140" i="1"/>
  <c r="I140" i="1"/>
  <c r="E140" i="1"/>
  <c r="N139" i="1"/>
  <c r="I139" i="1"/>
  <c r="E139" i="1"/>
  <c r="N138" i="1"/>
  <c r="I138" i="1"/>
  <c r="E138" i="1"/>
  <c r="N137" i="1"/>
  <c r="I137" i="1"/>
  <c r="E137" i="1"/>
  <c r="N136" i="1"/>
  <c r="I136" i="1"/>
  <c r="E136" i="1"/>
  <c r="N135" i="1"/>
  <c r="I135" i="1"/>
  <c r="E135" i="1"/>
  <c r="N134" i="1"/>
  <c r="I134" i="1"/>
  <c r="E134" i="1"/>
  <c r="N133" i="1"/>
  <c r="I133" i="1"/>
  <c r="E133" i="1"/>
  <c r="N132" i="1"/>
  <c r="I132" i="1"/>
  <c r="E132" i="1"/>
  <c r="N131" i="1"/>
  <c r="I131" i="1"/>
  <c r="E131" i="1"/>
  <c r="N130" i="1"/>
  <c r="I130" i="1"/>
  <c r="E130" i="1"/>
  <c r="N129" i="1"/>
  <c r="I129" i="1"/>
  <c r="E129" i="1"/>
  <c r="N128" i="1"/>
  <c r="I128" i="1"/>
  <c r="E128" i="1"/>
  <c r="N127" i="1"/>
  <c r="I127" i="1"/>
  <c r="E127" i="1"/>
  <c r="N126" i="1"/>
  <c r="I126" i="1"/>
  <c r="E126" i="1"/>
  <c r="N125" i="1"/>
  <c r="I125" i="1"/>
  <c r="E125" i="1"/>
  <c r="N124" i="1"/>
  <c r="I124" i="1"/>
  <c r="E124" i="1"/>
  <c r="N123" i="1"/>
  <c r="I123" i="1"/>
  <c r="E123" i="1"/>
  <c r="N122" i="1"/>
  <c r="I122" i="1"/>
  <c r="E122" i="1"/>
  <c r="N121" i="1"/>
  <c r="I121" i="1"/>
  <c r="E121" i="1"/>
  <c r="N120" i="1"/>
  <c r="I120" i="1"/>
  <c r="E120" i="1"/>
  <c r="N119" i="1"/>
  <c r="I119" i="1"/>
  <c r="E119" i="1"/>
  <c r="N118" i="1"/>
  <c r="I118" i="1"/>
  <c r="E118" i="1"/>
  <c r="N117" i="1"/>
  <c r="I117" i="1"/>
  <c r="E117" i="1"/>
  <c r="N116" i="1"/>
  <c r="I116" i="1"/>
  <c r="E116" i="1"/>
  <c r="N115" i="1"/>
  <c r="I115" i="1"/>
  <c r="E115" i="1"/>
  <c r="N114" i="1"/>
  <c r="I114" i="1"/>
  <c r="E114" i="1"/>
  <c r="N113" i="1"/>
  <c r="I113" i="1"/>
  <c r="E113" i="1"/>
  <c r="N112" i="1"/>
  <c r="I112" i="1"/>
  <c r="E112" i="1"/>
  <c r="N111" i="1"/>
  <c r="I111" i="1"/>
  <c r="E111" i="1"/>
  <c r="N110" i="1"/>
  <c r="I110" i="1"/>
  <c r="E110" i="1"/>
  <c r="N109" i="1"/>
  <c r="I109" i="1"/>
  <c r="E109" i="1"/>
  <c r="N108" i="1"/>
  <c r="I108" i="1"/>
  <c r="E108" i="1"/>
  <c r="N107" i="1"/>
  <c r="I107" i="1"/>
  <c r="E107" i="1"/>
  <c r="N106" i="1"/>
  <c r="I106" i="1"/>
  <c r="E106" i="1"/>
  <c r="N105" i="1"/>
  <c r="I105" i="1"/>
  <c r="E105" i="1"/>
  <c r="N104" i="1"/>
  <c r="I104" i="1"/>
  <c r="E104" i="1"/>
  <c r="N103" i="1"/>
  <c r="I103" i="1"/>
  <c r="E103" i="1"/>
  <c r="N102" i="1"/>
  <c r="I102" i="1"/>
  <c r="E102" i="1"/>
  <c r="N101" i="1"/>
  <c r="I101" i="1"/>
  <c r="E101" i="1"/>
  <c r="N100" i="1"/>
  <c r="I100" i="1"/>
  <c r="E100" i="1"/>
  <c r="N99" i="1"/>
  <c r="I99" i="1"/>
  <c r="E99" i="1"/>
  <c r="N98" i="1"/>
  <c r="I98" i="1"/>
  <c r="E98" i="1"/>
  <c r="N97" i="1"/>
  <c r="I97" i="1"/>
  <c r="E97" i="1"/>
  <c r="N96" i="1"/>
  <c r="I96" i="1"/>
  <c r="E96" i="1"/>
  <c r="N95" i="1"/>
  <c r="I95" i="1"/>
  <c r="E95" i="1"/>
  <c r="N94" i="1"/>
  <c r="I94" i="1"/>
  <c r="E94" i="1"/>
  <c r="N93" i="1"/>
  <c r="I93" i="1"/>
  <c r="E93" i="1"/>
  <c r="N92" i="1"/>
  <c r="I92" i="1"/>
  <c r="E92" i="1"/>
  <c r="N91" i="1"/>
  <c r="I91" i="1"/>
  <c r="E91" i="1"/>
  <c r="N90" i="1"/>
  <c r="I90" i="1"/>
  <c r="E90" i="1"/>
  <c r="N89" i="1"/>
  <c r="I89" i="1"/>
  <c r="E89" i="1"/>
  <c r="N88" i="1"/>
  <c r="I88" i="1"/>
  <c r="E88" i="1"/>
  <c r="N87" i="1"/>
  <c r="I87" i="1"/>
  <c r="E87" i="1"/>
  <c r="N86" i="1"/>
  <c r="I86" i="1"/>
  <c r="E86" i="1"/>
  <c r="N85" i="1"/>
  <c r="I85" i="1"/>
  <c r="E85" i="1"/>
  <c r="N84" i="1"/>
  <c r="I84" i="1"/>
  <c r="E84" i="1"/>
  <c r="N83" i="1"/>
  <c r="I83" i="1"/>
  <c r="E83" i="1"/>
  <c r="N82" i="1"/>
  <c r="I82" i="1"/>
  <c r="E82" i="1"/>
  <c r="N81" i="1"/>
  <c r="I81" i="1"/>
  <c r="E81" i="1"/>
  <c r="N80" i="1"/>
  <c r="I80" i="1"/>
  <c r="E80" i="1"/>
  <c r="N79" i="1"/>
  <c r="I79" i="1"/>
  <c r="E79" i="1"/>
  <c r="N78" i="1"/>
  <c r="I78" i="1"/>
  <c r="E78" i="1"/>
  <c r="N77" i="1"/>
  <c r="I77" i="1"/>
  <c r="E77" i="1"/>
  <c r="N76" i="1"/>
  <c r="I76" i="1"/>
  <c r="E76" i="1"/>
  <c r="N75" i="1"/>
  <c r="I75" i="1"/>
  <c r="E75" i="1"/>
  <c r="N74" i="1"/>
  <c r="I74" i="1"/>
  <c r="E74" i="1"/>
  <c r="N73" i="1"/>
  <c r="I73" i="1"/>
  <c r="E73" i="1"/>
  <c r="N72" i="1"/>
  <c r="I72" i="1"/>
  <c r="E72" i="1"/>
  <c r="N71" i="1"/>
  <c r="I71" i="1"/>
  <c r="E71" i="1"/>
  <c r="N70" i="1"/>
  <c r="I70" i="1"/>
  <c r="E70" i="1"/>
  <c r="N69" i="1"/>
  <c r="I69" i="1"/>
  <c r="E69" i="1"/>
  <c r="N68" i="1"/>
  <c r="I68" i="1"/>
  <c r="E68" i="1"/>
  <c r="N67" i="1"/>
  <c r="I67" i="1"/>
  <c r="E67" i="1"/>
  <c r="N66" i="1"/>
  <c r="I66" i="1"/>
  <c r="E66" i="1"/>
  <c r="N65" i="1"/>
  <c r="I65" i="1"/>
  <c r="E65" i="1"/>
  <c r="N64" i="1"/>
  <c r="I64" i="1"/>
  <c r="E64" i="1"/>
  <c r="N63" i="1"/>
  <c r="I63" i="1"/>
  <c r="E63" i="1"/>
  <c r="N62" i="1"/>
  <c r="I62" i="1"/>
  <c r="E62" i="1"/>
  <c r="N61" i="1"/>
  <c r="I61" i="1"/>
  <c r="E61" i="1"/>
  <c r="N60" i="1"/>
  <c r="I60" i="1"/>
  <c r="E60" i="1"/>
  <c r="N59" i="1"/>
  <c r="I59" i="1"/>
  <c r="E59" i="1"/>
  <c r="N58" i="1"/>
  <c r="I58" i="1"/>
  <c r="E58" i="1"/>
  <c r="N57" i="1"/>
  <c r="I57" i="1"/>
  <c r="E57" i="1"/>
  <c r="N56" i="1"/>
  <c r="I56" i="1"/>
  <c r="E56" i="1"/>
  <c r="N55" i="1"/>
  <c r="I55" i="1"/>
  <c r="E55" i="1"/>
  <c r="N54" i="1"/>
  <c r="I54" i="1"/>
  <c r="E54" i="1"/>
  <c r="N53" i="1"/>
  <c r="I53" i="1"/>
  <c r="E53" i="1"/>
  <c r="N52" i="1"/>
  <c r="I52" i="1"/>
  <c r="E52" i="1"/>
  <c r="N51" i="1"/>
  <c r="I51" i="1"/>
  <c r="E51" i="1"/>
  <c r="N50" i="1"/>
  <c r="I50" i="1"/>
  <c r="E50" i="1"/>
  <c r="N49" i="1"/>
  <c r="I49" i="1"/>
  <c r="E49" i="1"/>
  <c r="N48" i="1"/>
  <c r="I48" i="1"/>
  <c r="E48" i="1"/>
  <c r="N47" i="1"/>
  <c r="I47" i="1"/>
  <c r="E47" i="1"/>
  <c r="N46" i="1"/>
  <c r="I46" i="1"/>
  <c r="E46" i="1"/>
  <c r="N45" i="1"/>
  <c r="I45" i="1"/>
  <c r="E45" i="1"/>
  <c r="N44" i="1"/>
  <c r="I44" i="1"/>
  <c r="E44" i="1"/>
  <c r="N43" i="1"/>
  <c r="I43" i="1"/>
  <c r="E43" i="1"/>
  <c r="N42" i="1"/>
  <c r="I42" i="1"/>
  <c r="E42" i="1"/>
  <c r="N41" i="1"/>
  <c r="I41" i="1"/>
  <c r="E41" i="1"/>
  <c r="N40" i="1"/>
  <c r="I40" i="1"/>
  <c r="E40" i="1"/>
  <c r="N39" i="1"/>
  <c r="I39" i="1"/>
  <c r="E39" i="1"/>
  <c r="N38" i="1"/>
  <c r="I38" i="1"/>
  <c r="E38" i="1"/>
  <c r="N37" i="1"/>
  <c r="I37" i="1"/>
  <c r="E37" i="1"/>
  <c r="N36" i="1"/>
  <c r="I36" i="1"/>
  <c r="E36" i="1"/>
  <c r="N35" i="1"/>
  <c r="I35" i="1"/>
  <c r="E35" i="1"/>
  <c r="N34" i="1"/>
  <c r="I34" i="1"/>
  <c r="E34" i="1"/>
  <c r="N33" i="1"/>
  <c r="I33" i="1"/>
  <c r="E33" i="1"/>
  <c r="N32" i="1"/>
  <c r="I32" i="1"/>
  <c r="E32" i="1"/>
  <c r="N31" i="1"/>
  <c r="I31" i="1"/>
  <c r="E31" i="1"/>
  <c r="N30" i="1"/>
  <c r="I30" i="1"/>
  <c r="E30" i="1"/>
  <c r="N29" i="1"/>
  <c r="I29" i="1"/>
  <c r="E29" i="1"/>
  <c r="N28" i="1"/>
  <c r="I28" i="1"/>
  <c r="E28" i="1"/>
  <c r="N27" i="1"/>
  <c r="I27" i="1"/>
  <c r="E27" i="1"/>
  <c r="N26" i="1"/>
  <c r="I26" i="1"/>
  <c r="E26" i="1"/>
  <c r="N25" i="1"/>
  <c r="I25" i="1"/>
  <c r="E25" i="1"/>
  <c r="N24" i="1"/>
  <c r="I24" i="1"/>
  <c r="E24" i="1"/>
  <c r="N23" i="1"/>
  <c r="I23" i="1"/>
  <c r="E23" i="1"/>
  <c r="N22" i="1"/>
  <c r="I22" i="1"/>
  <c r="E22" i="1"/>
  <c r="N21" i="1"/>
  <c r="I21" i="1"/>
  <c r="E21" i="1"/>
  <c r="N20" i="1"/>
  <c r="I20" i="1"/>
  <c r="E20" i="1"/>
  <c r="N19" i="1"/>
  <c r="I19" i="1"/>
  <c r="E19" i="1"/>
  <c r="N18" i="1"/>
  <c r="I18" i="1"/>
  <c r="E18" i="1"/>
  <c r="N17" i="1"/>
  <c r="I17" i="1"/>
  <c r="E17" i="1"/>
  <c r="N16" i="1"/>
  <c r="I16" i="1"/>
  <c r="E16" i="1"/>
  <c r="N15" i="1"/>
  <c r="I15" i="1"/>
  <c r="E15" i="1"/>
  <c r="N14" i="1"/>
  <c r="I14" i="1"/>
  <c r="E14" i="1"/>
  <c r="N13" i="1"/>
  <c r="I13" i="1"/>
  <c r="E13" i="1"/>
  <c r="N12" i="1"/>
  <c r="I12" i="1"/>
  <c r="E12" i="1"/>
  <c r="N11" i="1"/>
  <c r="I11" i="1"/>
  <c r="E11" i="1"/>
  <c r="N10" i="1"/>
  <c r="I10" i="1"/>
  <c r="E10" i="1"/>
  <c r="N9" i="1"/>
  <c r="I9" i="1"/>
  <c r="E9" i="1"/>
  <c r="N8" i="1"/>
  <c r="I8" i="1"/>
  <c r="E8" i="1"/>
  <c r="N7" i="1"/>
  <c r="I7" i="1"/>
  <c r="E7" i="1"/>
  <c r="N6" i="1"/>
  <c r="I6" i="1"/>
  <c r="E6" i="1"/>
  <c r="N5" i="1"/>
  <c r="I5" i="1"/>
  <c r="E5" i="1"/>
  <c r="N1099" i="1" l="1"/>
  <c r="N1135" i="1"/>
  <c r="N1139" i="1"/>
  <c r="N1090" i="1"/>
  <c r="N1103" i="1"/>
  <c r="N1109" i="1"/>
  <c r="N1162" i="1"/>
  <c r="N1137" i="1"/>
  <c r="N1149" i="1"/>
  <c r="N1108" i="1"/>
  <c r="N1163" i="1"/>
  <c r="N1157" i="1"/>
  <c r="N1087" i="1"/>
  <c r="N1058" i="1"/>
  <c r="N1069" i="1"/>
  <c r="N1056" i="1"/>
  <c r="N1148" i="1"/>
  <c r="N1073" i="1"/>
  <c r="N1081" i="1"/>
  <c r="N1151" i="1"/>
  <c r="N1154" i="1"/>
  <c r="N232" i="1"/>
  <c r="N1068" i="1"/>
  <c r="N1072" i="1"/>
  <c r="N1076" i="1"/>
  <c r="N1080" i="1"/>
  <c r="N1089" i="1"/>
  <c r="N1119" i="1"/>
  <c r="N1125" i="1"/>
  <c r="N1129" i="1"/>
  <c r="N1147" i="1"/>
  <c r="N1105" i="1"/>
  <c r="N1111" i="1"/>
  <c r="N1118" i="1"/>
  <c r="N1075" i="1"/>
  <c r="N1104" i="1"/>
  <c r="N1107" i="1"/>
  <c r="N1054" i="1"/>
  <c r="N1114" i="1"/>
  <c r="N1130" i="1"/>
  <c r="N1133" i="1"/>
  <c r="N1145" i="1"/>
  <c r="N1166" i="1"/>
  <c r="N1097" i="1"/>
  <c r="N1098" i="1"/>
  <c r="N1123" i="1"/>
  <c r="N1161" i="1"/>
  <c r="N149" i="1"/>
  <c r="N1077" i="1"/>
  <c r="N258" i="1"/>
  <c r="N1060" i="1"/>
  <c r="N873" i="1"/>
  <c r="N1127" i="1"/>
  <c r="N1055" i="1"/>
  <c r="N1059" i="1"/>
  <c r="N1067" i="1"/>
  <c r="N1086" i="1"/>
  <c r="N1093" i="1"/>
  <c r="N1096" i="1"/>
  <c r="N1100" i="1"/>
  <c r="N1106" i="1"/>
  <c r="N1110" i="1"/>
  <c r="N1117" i="1"/>
  <c r="N1134" i="1"/>
  <c r="N1138" i="1"/>
  <c r="N1143" i="1"/>
  <c r="N1156" i="1"/>
  <c r="N1333" i="1"/>
  <c r="N1057" i="1"/>
  <c r="N1131" i="1"/>
  <c r="N1136" i="1"/>
  <c r="N1094" i="1"/>
  <c r="N1124" i="1"/>
  <c r="N1062" i="1"/>
  <c r="N1064" i="1"/>
  <c r="N1070" i="1"/>
  <c r="N1082" i="1"/>
  <c r="N1088" i="1"/>
  <c r="N1102" i="1"/>
  <c r="N1113" i="1"/>
  <c r="N1120" i="1"/>
  <c r="N1153" i="1"/>
  <c r="N1155" i="1"/>
  <c r="N1158" i="1"/>
  <c r="N1165" i="1"/>
  <c r="N928" i="1"/>
  <c r="N1046" i="1"/>
  <c r="N1053" i="1"/>
  <c r="N1066" i="1"/>
  <c r="N1071" i="1"/>
  <c r="N1078" i="1"/>
  <c r="N1092" i="1"/>
  <c r="N1112" i="1"/>
  <c r="N1116" i="1"/>
  <c r="N1122" i="1"/>
  <c r="N1132" i="1"/>
  <c r="N1140" i="1"/>
  <c r="N1152" i="1"/>
  <c r="N1164" i="1"/>
  <c r="N1383" i="1"/>
  <c r="N1012" i="1"/>
  <c r="N1061" i="1"/>
  <c r="N1074" i="1"/>
  <c r="N1079" i="1"/>
  <c r="N1084" i="1"/>
  <c r="N1091" i="1"/>
  <c r="N1101" i="1"/>
  <c r="N1115" i="1"/>
  <c r="N1128" i="1"/>
  <c r="N1144" i="1"/>
  <c r="N1160" i="1"/>
  <c r="N1167" i="1" l="1"/>
  <c r="N1508" i="1"/>
</calcChain>
</file>

<file path=xl/sharedStrings.xml><?xml version="1.0" encoding="utf-8"?>
<sst xmlns="http://schemas.openxmlformats.org/spreadsheetml/2006/main" count="8521" uniqueCount="801">
  <si>
    <t>TIPO DE F.F.</t>
  </si>
  <si>
    <t>FUENTE DE FINANCIAMIENTO</t>
  </si>
  <si>
    <t>CAPÍTULO</t>
  </si>
  <si>
    <t>PROCEDIM. DE CONTRATACIÓN PROPUESTO</t>
  </si>
  <si>
    <t>Gobierno del Estado de Baja California Sur</t>
  </si>
  <si>
    <t>Consolidación</t>
  </si>
  <si>
    <t>Ajudicación Directa</t>
  </si>
  <si>
    <t>Licitación Pública</t>
  </si>
  <si>
    <t>FUNDAMENTO LEGAL</t>
  </si>
  <si>
    <t>RAMO/SUBRAMO</t>
  </si>
  <si>
    <t>PROGRAMA PRESUPUESTARIO</t>
  </si>
  <si>
    <t>PARTIDA COG</t>
  </si>
  <si>
    <t xml:space="preserve">PRESUPUESTO ANUAL AUTORIZADO </t>
  </si>
  <si>
    <t>FECHA ESTIMADA PARA REALIZAR EL PROCEDIMIENTO</t>
  </si>
  <si>
    <t>PROCEDIM. DE CONTRATACIÓN</t>
  </si>
  <si>
    <t>Invitación a Cuando Menos Tres</t>
  </si>
  <si>
    <t>DESCRIPCIÓN PARTIDA COG</t>
  </si>
  <si>
    <t>UNIDAD RESPONSABLE</t>
  </si>
  <si>
    <r>
      <rPr>
        <b/>
        <sz val="11"/>
        <color rgb="FFFFFFFF"/>
        <rFont val="Calibri"/>
        <family val="1"/>
      </rPr>
      <t>NOMENCLATURA</t>
    </r>
  </si>
  <si>
    <r>
      <rPr>
        <b/>
        <sz val="11"/>
        <color rgb="FFFFFFFF"/>
        <rFont val="Calibri"/>
        <family val="1"/>
      </rPr>
      <t>DESCRPCION</t>
    </r>
  </si>
  <si>
    <r>
      <rPr>
        <b/>
        <sz val="11"/>
        <rFont val="Calibri"/>
        <family val="1"/>
      </rPr>
      <t>INGRESOS PROPIOS Y APROVECHAMIENTOS</t>
    </r>
  </si>
  <si>
    <r>
      <rPr>
        <sz val="11"/>
        <rFont val="Calibri"/>
        <family val="1"/>
      </rPr>
      <t>INGRESOS PROPIOS (IMPUESTOS, DERECHOS, PRODUCTOS Y APROVECHAMIENTOS)</t>
    </r>
  </si>
  <si>
    <r>
      <rPr>
        <sz val="11"/>
        <rFont val="Calibri"/>
        <family val="1"/>
      </rPr>
      <t>INGRESOS PROPIOS</t>
    </r>
  </si>
  <si>
    <r>
      <rPr>
        <sz val="11"/>
        <rFont val="Calibri"/>
        <family val="1"/>
      </rPr>
      <t>INGRESOS PROPIOS APORTACIONES MUNICIPALES</t>
    </r>
  </si>
  <si>
    <r>
      <rPr>
        <sz val="11"/>
        <rFont val="Calibri"/>
        <family val="1"/>
      </rPr>
      <t>APROVECHAMIENTO POR EL USO DE LA I NFRAESTRUCTURA ESTATAL</t>
    </r>
  </si>
  <si>
    <r>
      <rPr>
        <sz val="11"/>
        <rFont val="Calibri"/>
        <family val="1"/>
      </rPr>
      <t>RECURSO F.O.I.S.</t>
    </r>
  </si>
  <si>
    <r>
      <rPr>
        <sz val="11"/>
        <rFont val="Calibri"/>
        <family val="1"/>
      </rPr>
      <t>RECURSO A.P.I.</t>
    </r>
  </si>
  <si>
    <r>
      <rPr>
        <sz val="11"/>
        <rFont val="Calibri"/>
        <family val="1"/>
      </rPr>
      <t>Reintegro con Ingresos Propios Ramo 28</t>
    </r>
  </si>
  <si>
    <r>
      <rPr>
        <sz val="11"/>
        <rFont val="Calibri"/>
        <family val="1"/>
      </rPr>
      <t>Reintegro con Ingresos Propios FONE</t>
    </r>
  </si>
  <si>
    <r>
      <rPr>
        <sz val="11"/>
        <rFont val="Calibri"/>
        <family val="1"/>
      </rPr>
      <t>Reintegro con Ingresos Propios FASSA</t>
    </r>
  </si>
  <si>
    <r>
      <rPr>
        <sz val="11"/>
        <rFont val="Calibri"/>
        <family val="1"/>
      </rPr>
      <t>Reintegro con Ingresos Propios FAIS/FISE</t>
    </r>
  </si>
  <si>
    <r>
      <rPr>
        <sz val="11"/>
        <rFont val="Calibri"/>
        <family val="1"/>
      </rPr>
      <t>Reintegro con Ingresos Propios FAIS/FISM</t>
    </r>
  </si>
  <si>
    <r>
      <rPr>
        <sz val="11"/>
        <rFont val="Calibri"/>
        <family val="1"/>
      </rPr>
      <t>Reintegro con Ingresos Propios FORTAMUN</t>
    </r>
  </si>
  <si>
    <r>
      <rPr>
        <sz val="11"/>
        <rFont val="Calibri"/>
        <family val="1"/>
      </rPr>
      <t>Reintegro con Ingresos Propios FAM/Asistencia Social</t>
    </r>
  </si>
  <si>
    <r>
      <rPr>
        <sz val="11"/>
        <rFont val="Calibri"/>
        <family val="1"/>
      </rPr>
      <t>Reintegro con Ingresos Propios FAM/Infraest. Educación Básica</t>
    </r>
  </si>
  <si>
    <r>
      <rPr>
        <sz val="11"/>
        <rFont val="Calibri"/>
        <family val="1"/>
      </rPr>
      <t>Reintegro con Ingresos Propios FAM/ Infraest. Educación Media Superior y Superior</t>
    </r>
  </si>
  <si>
    <r>
      <rPr>
        <sz val="11"/>
        <rFont val="Calibri"/>
        <family val="1"/>
      </rPr>
      <t>Reintegro con Ingresos Propios FAETA/Educ. Tecnológica (CONALEP)</t>
    </r>
  </si>
  <si>
    <r>
      <rPr>
        <sz val="11"/>
        <rFont val="Calibri"/>
        <family val="1"/>
      </rPr>
      <t>Reintegro con Ingresos Propios FAETA Educ. Adultos (IEEA)</t>
    </r>
  </si>
  <si>
    <r>
      <rPr>
        <sz val="11"/>
        <rFont val="Calibri"/>
        <family val="1"/>
      </rPr>
      <t>Reintegro con Ingresos Propios FASP</t>
    </r>
  </si>
  <si>
    <r>
      <rPr>
        <sz val="11"/>
        <rFont val="Calibri"/>
        <family val="1"/>
      </rPr>
      <t>Reintegro con Ingresos Propios FAFEF</t>
    </r>
  </si>
  <si>
    <r>
      <rPr>
        <sz val="11"/>
        <rFont val="Calibri"/>
        <family val="1"/>
      </rPr>
      <t>Reintegro con Ingresos Propios SEDATU</t>
    </r>
  </si>
  <si>
    <r>
      <rPr>
        <sz val="11"/>
        <rFont val="Calibri"/>
        <family val="1"/>
      </rPr>
      <t>Reintegro con Ingresos Propios CULTURA Ramo 48</t>
    </r>
  </si>
  <si>
    <r>
      <rPr>
        <sz val="11"/>
        <rFont val="Calibri"/>
        <family val="1"/>
      </rPr>
      <t>Reintegro con Ingresos Propios UABCS</t>
    </r>
  </si>
  <si>
    <r>
      <rPr>
        <sz val="11"/>
        <rFont val="Calibri"/>
        <family val="1"/>
      </rPr>
      <t>Reintegro con Ingresos Propios CONAGUA</t>
    </r>
  </si>
  <si>
    <r>
      <rPr>
        <sz val="11"/>
        <rFont val="Calibri"/>
        <family val="1"/>
      </rPr>
      <t>Reintegro con Ingresos Propios SEGOB</t>
    </r>
  </si>
  <si>
    <r>
      <rPr>
        <sz val="11"/>
        <rFont val="Calibri"/>
        <family val="1"/>
      </rPr>
      <t>Reintegro con Ingresos Propios SECTUR</t>
    </r>
  </si>
  <si>
    <r>
      <rPr>
        <sz val="11"/>
        <rFont val="Calibri"/>
        <family val="1"/>
      </rPr>
      <t>Reintegro con Ingresos Propios PROFIS</t>
    </r>
  </si>
  <si>
    <r>
      <rPr>
        <sz val="11"/>
        <rFont val="Calibri"/>
        <family val="1"/>
      </rPr>
      <t>Reintegro con Ingresos Propios SSP</t>
    </r>
  </si>
  <si>
    <r>
      <rPr>
        <sz val="11"/>
        <rFont val="Calibri"/>
        <family val="1"/>
      </rPr>
      <t>Reintegro con Ingresos Propios COBACH</t>
    </r>
  </si>
  <si>
    <r>
      <rPr>
        <sz val="11"/>
        <rFont val="Calibri"/>
        <family val="1"/>
      </rPr>
      <t>Reintegro con Ingresos Propios Fondo Proporcional Peso a Peso</t>
    </r>
  </si>
  <si>
    <r>
      <rPr>
        <sz val="11"/>
        <rFont val="Calibri"/>
        <family val="1"/>
      </rPr>
      <t>Reintegro con Ingresos Propios CECYTE</t>
    </r>
  </si>
  <si>
    <r>
      <rPr>
        <sz val="11"/>
        <rFont val="Calibri"/>
        <family val="1"/>
      </rPr>
      <t>Reintegro con Ingresos Propios Imp. Ref. Penal (SETEC)</t>
    </r>
  </si>
  <si>
    <r>
      <rPr>
        <sz val="11"/>
        <rFont val="Calibri"/>
        <family val="1"/>
      </rPr>
      <t>Reintegro con Ingresos Propios CONADE</t>
    </r>
  </si>
  <si>
    <r>
      <rPr>
        <sz val="11"/>
        <rFont val="Calibri"/>
        <family val="1"/>
      </rPr>
      <t>Reintegro con Ingresos Propios Conv. Salud (Ramo 12)</t>
    </r>
  </si>
  <si>
    <r>
      <rPr>
        <sz val="11"/>
        <rFont val="Calibri"/>
        <family val="1"/>
      </rPr>
      <t>Reintegro con Ingresos Propios Secretaría de Economía</t>
    </r>
  </si>
  <si>
    <r>
      <rPr>
        <sz val="11"/>
        <rFont val="Calibri"/>
        <family val="1"/>
      </rPr>
      <t>Reintegro con Ingresos Propios SUBSEMUN</t>
    </r>
  </si>
  <si>
    <r>
      <rPr>
        <sz val="11"/>
        <rFont val="Calibri"/>
        <family val="1"/>
      </rPr>
      <t>Reintegro con Ingresos Propios Fondo Para La Infraest. de los Estados</t>
    </r>
  </si>
  <si>
    <r>
      <rPr>
        <sz val="11"/>
        <rFont val="Calibri"/>
        <family val="1"/>
      </rPr>
      <t>Reintegro con Ingresos Propios Apoyo Financiero Ext. UABCS</t>
    </r>
  </si>
  <si>
    <r>
      <rPr>
        <sz val="11"/>
        <rFont val="Calibri"/>
        <family val="1"/>
      </rPr>
      <t>Reintegro con Ingresos Propios Apoyo Financiero Ext. ISIFE</t>
    </r>
  </si>
  <si>
    <r>
      <rPr>
        <sz val="11"/>
        <rFont val="Calibri"/>
        <family val="1"/>
      </rPr>
      <t>Reintegro con Ingresos Propios Subs. Policía Estatal Acreditable (SPA)</t>
    </r>
  </si>
  <si>
    <r>
      <rPr>
        <sz val="11"/>
        <rFont val="Calibri"/>
        <family val="1"/>
      </rPr>
      <t>Reintegro con Ingresos Propios PROASP</t>
    </r>
  </si>
  <si>
    <r>
      <rPr>
        <sz val="11"/>
        <rFont val="Calibri"/>
        <family val="1"/>
      </rPr>
      <t>Reintegro con Ingresos Propios Ingresos Extraordinarios</t>
    </r>
  </si>
  <si>
    <r>
      <rPr>
        <sz val="11"/>
        <rFont val="Calibri"/>
        <family val="1"/>
      </rPr>
      <t>Reintegro con Ingresos Propios Ingresos Derivados del 5 Al Millar (Obra)</t>
    </r>
  </si>
  <si>
    <r>
      <rPr>
        <sz val="11"/>
        <rFont val="Calibri"/>
        <family val="1"/>
      </rPr>
      <t>Reintegro con Ingresos Propios Ingresos Extraordinarios Ramo 23</t>
    </r>
  </si>
  <si>
    <r>
      <rPr>
        <sz val="11"/>
        <rFont val="Calibri"/>
        <family val="1"/>
      </rPr>
      <t>Reintegro con Ingresos Propios Ingresos Extraordinarios Ramo 21</t>
    </r>
  </si>
  <si>
    <r>
      <rPr>
        <sz val="11"/>
        <rFont val="Calibri"/>
        <family val="1"/>
      </rPr>
      <t>Reintegro con Ingresos Propios Ingresos Extraordinarios Sep. Ramo 11</t>
    </r>
  </si>
  <si>
    <r>
      <rPr>
        <sz val="11"/>
        <rFont val="Calibri"/>
        <family val="1"/>
      </rPr>
      <t>Reintegro con Ingresos Propios Ingresos Ext. Ramo 09 (SCT)</t>
    </r>
  </si>
  <si>
    <r>
      <rPr>
        <sz val="11"/>
        <rFont val="Calibri"/>
        <family val="1"/>
      </rPr>
      <t>Reintegro con Ingresos Propios Ingresos Ext. Ramo 16 (SEMARNAT)</t>
    </r>
  </si>
  <si>
    <r>
      <rPr>
        <sz val="11"/>
        <rFont val="Calibri"/>
        <family val="1"/>
      </rPr>
      <t>BONO CUPÓN CERO</t>
    </r>
  </si>
  <si>
    <r>
      <rPr>
        <b/>
        <sz val="11"/>
        <rFont val="Calibri"/>
        <family val="1"/>
      </rPr>
      <t>RECURSOS FEDERALES</t>
    </r>
  </si>
  <si>
    <r>
      <rPr>
        <sz val="11"/>
        <rFont val="Calibri"/>
        <family val="1"/>
      </rPr>
      <t>PARTICIPACIONES Ramo 28</t>
    </r>
  </si>
  <si>
    <r>
      <rPr>
        <sz val="11"/>
        <rFont val="Calibri"/>
        <family val="1"/>
      </rPr>
      <t>INTERESES BANCARIOS PROYECTADOS, RECURSOS FEDERALES</t>
    </r>
  </si>
  <si>
    <r>
      <rPr>
        <sz val="11"/>
        <rFont val="Calibri"/>
        <family val="1"/>
      </rPr>
      <t>FONE Ramo 33</t>
    </r>
  </si>
  <si>
    <r>
      <rPr>
        <sz val="11"/>
        <rFont val="Calibri"/>
        <family val="1"/>
      </rPr>
      <t>FASSA Ramo 33</t>
    </r>
  </si>
  <si>
    <r>
      <rPr>
        <sz val="11"/>
        <rFont val="Calibri"/>
        <family val="1"/>
      </rPr>
      <t>FAIS/FISE Ramo 33</t>
    </r>
  </si>
  <si>
    <r>
      <rPr>
        <sz val="11"/>
        <rFont val="Calibri"/>
        <family val="1"/>
      </rPr>
      <t>FAIS/FISM Ramo 33</t>
    </r>
  </si>
  <si>
    <r>
      <rPr>
        <sz val="11"/>
        <rFont val="Calibri"/>
        <family val="1"/>
      </rPr>
      <t>FORTAMUN Ramo 33</t>
    </r>
  </si>
  <si>
    <r>
      <rPr>
        <sz val="11"/>
        <rFont val="Calibri"/>
        <family val="1"/>
      </rPr>
      <t>FAM/ASISTENCIA SOCIAL Ramo 33</t>
    </r>
  </si>
  <si>
    <r>
      <rPr>
        <sz val="11"/>
        <rFont val="Calibri"/>
        <family val="1"/>
      </rPr>
      <t>FAM/INFRAESTRUCTURA DE EDUCACIÓN BÁSICA Ramo 33</t>
    </r>
  </si>
  <si>
    <r>
      <rPr>
        <sz val="11"/>
        <rFont val="Calibri"/>
        <family val="1"/>
      </rPr>
      <t>FAM/EDUCACIÓN MEDIA SUPERIOR Y SUPERIOR Ramo 33</t>
    </r>
  </si>
  <si>
    <r>
      <rPr>
        <sz val="11"/>
        <rFont val="Calibri"/>
        <family val="1"/>
      </rPr>
      <t>FAETA/EDUCACIÓN TECNOLÓGICA ( CONALEP) Ramo 33</t>
    </r>
  </si>
  <si>
    <r>
      <rPr>
        <sz val="11"/>
        <rFont val="Calibri"/>
        <family val="1"/>
      </rPr>
      <t>FAETA/EDUCACIÓN ADULTOS (IEEA) Ramo 33</t>
    </r>
  </si>
  <si>
    <r>
      <rPr>
        <sz val="11"/>
        <rFont val="Calibri"/>
        <family val="1"/>
      </rPr>
      <t>FASP Ramo 33</t>
    </r>
  </si>
  <si>
    <r>
      <rPr>
        <sz val="11"/>
        <rFont val="Calibri"/>
        <family val="1"/>
      </rPr>
      <t>FAFEF Ramo 33</t>
    </r>
  </si>
  <si>
    <r>
      <rPr>
        <sz val="11"/>
        <rFont val="Calibri"/>
        <family val="1"/>
      </rPr>
      <t>SRIA. DE DES. AGRARIO TERRITORIAL Y URBANO (SEDATU) Ramo 15</t>
    </r>
  </si>
  <si>
    <r>
      <rPr>
        <sz val="11"/>
        <rFont val="Calibri"/>
        <family val="1"/>
      </rPr>
      <t>CULTURA FEDERAL Ramo 48</t>
    </r>
  </si>
  <si>
    <r>
      <rPr>
        <sz val="11"/>
        <rFont val="Calibri"/>
        <family val="1"/>
      </rPr>
      <t>UNIVERSIDAD AUTÓNOMA DE B.C.S. Ramo 11</t>
    </r>
  </si>
  <si>
    <r>
      <rPr>
        <sz val="11"/>
        <rFont val="Calibri"/>
        <family val="1"/>
      </rPr>
      <t>CONAGUA Ramo 16</t>
    </r>
  </si>
  <si>
    <r>
      <rPr>
        <sz val="11"/>
        <rFont val="Calibri"/>
        <family val="1"/>
      </rPr>
      <t>SECRETARÍA DE GOBERNACIÓN Ramo 04</t>
    </r>
  </si>
  <si>
    <r>
      <rPr>
        <sz val="11"/>
        <rFont val="Calibri"/>
        <family val="1"/>
      </rPr>
      <t>SECRETARÍA DE TURISMO Ramo 21</t>
    </r>
  </si>
  <si>
    <r>
      <rPr>
        <sz val="11"/>
        <rFont val="Calibri"/>
        <family val="1"/>
      </rPr>
      <t>PROFIS</t>
    </r>
  </si>
  <si>
    <r>
      <rPr>
        <sz val="11"/>
        <rFont val="Calibri"/>
        <family val="1"/>
      </rPr>
      <t>SECRETARÍA DE SEGURIDAD PÚBLICA</t>
    </r>
  </si>
  <si>
    <r>
      <rPr>
        <sz val="11"/>
        <rFont val="Calibri"/>
        <family val="1"/>
      </rPr>
      <t>COBACH Ramo 11</t>
    </r>
  </si>
  <si>
    <r>
      <rPr>
        <sz val="11"/>
        <rFont val="Calibri"/>
        <family val="1"/>
      </rPr>
      <t>FONDO PROPORCIONAL PESO A PESO</t>
    </r>
  </si>
  <si>
    <r>
      <rPr>
        <sz val="11"/>
        <rFont val="Calibri"/>
        <family val="1"/>
      </rPr>
      <t>CECYTE Ramo 11</t>
    </r>
  </si>
  <si>
    <r>
      <rPr>
        <sz val="11"/>
        <rFont val="Calibri"/>
        <family val="1"/>
      </rPr>
      <t>IMPLEMENTACIÓN DE LA REFORMA PENAL (SETEC)</t>
    </r>
  </si>
  <si>
    <r>
      <rPr>
        <sz val="11"/>
        <rFont val="Calibri"/>
        <family val="1"/>
      </rPr>
      <t>CONADE Ramo 11</t>
    </r>
  </si>
  <si>
    <r>
      <rPr>
        <sz val="11"/>
        <rFont val="Calibri"/>
        <family val="1"/>
      </rPr>
      <t>CONVENIOS Ramo 12</t>
    </r>
  </si>
  <si>
    <r>
      <rPr>
        <sz val="11"/>
        <rFont val="Calibri"/>
        <family val="1"/>
      </rPr>
      <t>SECRETARÍA DE ECONOMÍA Ramo 10</t>
    </r>
  </si>
  <si>
    <r>
      <rPr>
        <sz val="11"/>
        <rFont val="Calibri"/>
        <family val="1"/>
      </rPr>
      <t>SUBSIDIO SEGURIDAD PÚBLICA MUNICIPAL</t>
    </r>
  </si>
  <si>
    <r>
      <rPr>
        <sz val="11"/>
        <rFont val="Calibri"/>
        <family val="1"/>
      </rPr>
      <t>FIDEICOMISO PARA LA INFRAESTRUCTURA DE LOS ESTADOS Ramo 23</t>
    </r>
  </si>
  <si>
    <r>
      <rPr>
        <sz val="11"/>
        <rFont val="Calibri"/>
        <family val="1"/>
      </rPr>
      <t>APOYO FINANCIERO EXTRAORDINARIO UABCS Ramo 11</t>
    </r>
  </si>
  <si>
    <r>
      <rPr>
        <sz val="11"/>
        <rFont val="Calibri"/>
        <family val="1"/>
      </rPr>
      <t>APOYO FINANCIERO EXTRAORDINARIO ISIFE Ramo 11</t>
    </r>
  </si>
  <si>
    <r>
      <rPr>
        <sz val="11"/>
        <rFont val="Calibri"/>
        <family val="1"/>
      </rPr>
      <t>SUBSIDIO POLICÍA ESTATAL ACREDITABLE (SPA)</t>
    </r>
  </si>
  <si>
    <r>
      <rPr>
        <sz val="11"/>
        <rFont val="Calibri"/>
        <family val="1"/>
      </rPr>
      <t>PROASP PROG. DE ALCANCE NAL. EN MAT. DE SEG. PUB. Ramo 04</t>
    </r>
  </si>
  <si>
    <r>
      <rPr>
        <sz val="11"/>
        <rFont val="Calibri"/>
        <family val="1"/>
      </rPr>
      <t>INGRESOS EXTRAORDINARIOS</t>
    </r>
  </si>
  <si>
    <r>
      <rPr>
        <sz val="11"/>
        <rFont val="Calibri"/>
        <family val="1"/>
      </rPr>
      <t>INGRESOS DERIVADOS DEL 5 AL MILLAR (OBRA)</t>
    </r>
  </si>
  <si>
    <r>
      <rPr>
        <sz val="11"/>
        <rFont val="Calibri"/>
        <family val="1"/>
      </rPr>
      <t>INGRESOS EXT Ramo 23 ( Provisiones Salariales y Económicas )</t>
    </r>
  </si>
  <si>
    <r>
      <rPr>
        <sz val="11"/>
        <rFont val="Calibri"/>
        <family val="1"/>
      </rPr>
      <t>INGRESOS EXT Ramo 21 (TURISMO)</t>
    </r>
  </si>
  <si>
    <r>
      <rPr>
        <sz val="11"/>
        <rFont val="Calibri"/>
        <family val="1"/>
      </rPr>
      <t>INGRESOS EXT Ramo 11 (SEP)</t>
    </r>
  </si>
  <si>
    <r>
      <rPr>
        <sz val="11"/>
        <rFont val="Calibri"/>
        <family val="1"/>
      </rPr>
      <t>INGRESOS EXT Ramo 09 (SCT)</t>
    </r>
  </si>
  <si>
    <r>
      <rPr>
        <sz val="11"/>
        <rFont val="Calibri"/>
        <family val="1"/>
      </rPr>
      <t>INGRESOS EXT Ramo 16 (SEMARNAT)</t>
    </r>
  </si>
  <si>
    <r>
      <rPr>
        <sz val="11"/>
        <rFont val="Calibri"/>
        <family val="1"/>
      </rPr>
      <t>INGRESOS EXT FORTASEG Ramo 04 (GOBERNACIÓN)</t>
    </r>
  </si>
  <si>
    <r>
      <rPr>
        <sz val="11"/>
        <rFont val="Calibri"/>
        <family val="1"/>
      </rPr>
      <t>INGRESOS EXT Ramo 20 (BIENESTAR)</t>
    </r>
  </si>
  <si>
    <r>
      <rPr>
        <sz val="11"/>
        <rFont val="Calibri"/>
        <family val="1"/>
      </rPr>
      <t>REMANENTE FONE 2016</t>
    </r>
  </si>
  <si>
    <r>
      <rPr>
        <sz val="11"/>
        <rFont val="Calibri"/>
        <family val="1"/>
      </rPr>
      <t>REMANENTE FONE 2015</t>
    </r>
  </si>
  <si>
    <r>
      <rPr>
        <b/>
        <sz val="11"/>
        <rFont val="Calibri"/>
        <family val="1"/>
      </rPr>
      <t>OTROS RECURSOS</t>
    </r>
  </si>
  <si>
    <r>
      <rPr>
        <sz val="11"/>
        <rFont val="Calibri"/>
        <family val="1"/>
      </rPr>
      <t>RENDIMIENTOS FONE</t>
    </r>
  </si>
  <si>
    <r>
      <rPr>
        <sz val="11"/>
        <rFont val="Calibri"/>
        <family val="1"/>
      </rPr>
      <t>RENDIMIENTOS FAM</t>
    </r>
  </si>
  <si>
    <r>
      <rPr>
        <sz val="11"/>
        <rFont val="Calibri"/>
        <family val="1"/>
      </rPr>
      <t>RENDIMIENTOS FASP</t>
    </r>
  </si>
  <si>
    <r>
      <rPr>
        <sz val="11"/>
        <rFont val="Calibri"/>
        <family val="1"/>
      </rPr>
      <t>INGRESOS EXTRAORDINARIOS (OTROS)</t>
    </r>
  </si>
  <si>
    <r>
      <rPr>
        <sz val="10"/>
        <rFont val="Calibri"/>
        <family val="1"/>
      </rPr>
      <t>N</t>
    </r>
  </si>
  <si>
    <r>
      <rPr>
        <sz val="10"/>
        <rFont val="Calibri"/>
        <family val="1"/>
      </rPr>
      <t>S</t>
    </r>
  </si>
  <si>
    <r>
      <rPr>
        <sz val="10"/>
        <rFont val="Calibri"/>
        <family val="1"/>
      </rPr>
      <t>Prev</t>
    </r>
  </si>
  <si>
    <r>
      <rPr>
        <b/>
        <sz val="12"/>
        <rFont val="Calibri"/>
        <family val="1"/>
      </rPr>
      <t>N</t>
    </r>
  </si>
  <si>
    <r>
      <rPr>
        <sz val="10"/>
        <rFont val="Calibri"/>
        <family val="1"/>
      </rPr>
      <t>MATERIALES DE ADMINISTRACIÓN, EMISIÓN DE DOCUMENTOS Y ARTÍCULO OFICIALES</t>
    </r>
  </si>
  <si>
    <r>
      <rPr>
        <sz val="10"/>
        <rFont val="Calibri"/>
        <family val="1"/>
      </rPr>
      <t>Materiales, útiles y equipos menores de oficina</t>
    </r>
  </si>
  <si>
    <r>
      <rPr>
        <sz val="10"/>
        <rFont val="Calibri"/>
        <family val="1"/>
      </rPr>
      <t>Material de oficina</t>
    </r>
  </si>
  <si>
    <r>
      <rPr>
        <sz val="10"/>
        <rFont val="Calibri"/>
        <family val="1"/>
      </rPr>
      <t>Materiales y útiles de impresión y reproducción</t>
    </r>
  </si>
  <si>
    <r>
      <rPr>
        <sz val="10"/>
        <rFont val="Calibri"/>
        <family val="1"/>
      </rPr>
      <t>Material y útiles de impresión</t>
    </r>
  </si>
  <si>
    <r>
      <rPr>
        <sz val="10"/>
        <rFont val="Calibri"/>
        <family val="1"/>
      </rPr>
      <t>Material estadístico y geográfico</t>
    </r>
  </si>
  <si>
    <r>
      <rPr>
        <sz val="10"/>
        <rFont val="Calibri"/>
        <family val="1"/>
      </rPr>
      <t>Materiales, útiles y equipos menores de tecnologías de la información y comunicaciones</t>
    </r>
  </si>
  <si>
    <r>
      <rPr>
        <sz val="10"/>
        <rFont val="Calibri"/>
        <family val="1"/>
      </rPr>
      <t>Material impreso e información digital</t>
    </r>
  </si>
  <si>
    <r>
      <rPr>
        <sz val="10"/>
        <rFont val="Calibri"/>
        <family val="1"/>
      </rPr>
      <t>Material didáctico</t>
    </r>
  </si>
  <si>
    <r>
      <rPr>
        <sz val="10"/>
        <rFont val="Calibri"/>
        <family val="1"/>
      </rPr>
      <t>Suscripciones a Periódicos, Revistas y Publicaciones Especializadas</t>
    </r>
  </si>
  <si>
    <r>
      <rPr>
        <sz val="10"/>
        <rFont val="Calibri"/>
        <family val="1"/>
      </rPr>
      <t>Material de limpieza</t>
    </r>
  </si>
  <si>
    <r>
      <rPr>
        <sz val="10"/>
        <rFont val="Calibri"/>
        <family val="1"/>
      </rPr>
      <t>Materiales y útiles de enseñanza</t>
    </r>
  </si>
  <si>
    <r>
      <rPr>
        <sz val="10"/>
        <rFont val="Calibri"/>
        <family val="1"/>
      </rPr>
      <t>Materiales para el registro e identificación de bienes y personas</t>
    </r>
  </si>
  <si>
    <r>
      <rPr>
        <sz val="10"/>
        <rFont val="Calibri"/>
        <family val="1"/>
      </rPr>
      <t>Placas, Engomados, Calcomanías y Hologramas</t>
    </r>
  </si>
  <si>
    <r>
      <rPr>
        <sz val="10"/>
        <rFont val="Calibri"/>
        <family val="1"/>
      </rPr>
      <t>Emisión de Licencias de Conducir</t>
    </r>
  </si>
  <si>
    <r>
      <rPr>
        <sz val="10"/>
        <rFont val="Calibri"/>
        <family val="1"/>
      </rPr>
      <t>Emisión de Formatos Únicos de Control Vehicular</t>
    </r>
  </si>
  <si>
    <r>
      <rPr>
        <sz val="10"/>
        <rFont val="Calibri"/>
        <family val="1"/>
      </rPr>
      <t>ALIMENTOS Y UTENSILIOS</t>
    </r>
  </si>
  <si>
    <r>
      <rPr>
        <sz val="10"/>
        <rFont val="Calibri"/>
        <family val="1"/>
      </rPr>
      <t>Productos alimenticios para personas</t>
    </r>
  </si>
  <si>
    <r>
      <rPr>
        <sz val="10"/>
        <rFont val="Calibri"/>
        <family val="1"/>
      </rPr>
      <t>Alimentación de personas</t>
    </r>
  </si>
  <si>
    <r>
      <rPr>
        <b/>
        <sz val="11"/>
        <color rgb="FFFFFFFF"/>
        <rFont val="Calibri"/>
        <family val="1"/>
      </rPr>
      <t>CUENTA</t>
    </r>
  </si>
  <si>
    <r>
      <rPr>
        <b/>
        <sz val="11"/>
        <color rgb="FFFFFFFF"/>
        <rFont val="Calibri"/>
        <family val="1"/>
      </rPr>
      <t>CONCEPTO</t>
    </r>
  </si>
  <si>
    <r>
      <rPr>
        <b/>
        <sz val="11"/>
        <color rgb="FFFFFFFF"/>
        <rFont val="Calibri"/>
        <family val="1"/>
      </rPr>
      <t xml:space="preserve">AFECTABLE/ NO
</t>
    </r>
    <r>
      <rPr>
        <b/>
        <sz val="11"/>
        <color rgb="FFFFFFFF"/>
        <rFont val="Calibri"/>
        <family val="1"/>
      </rPr>
      <t>AFECTABLE</t>
    </r>
  </si>
  <si>
    <r>
      <rPr>
        <sz val="10"/>
        <rFont val="Calibri"/>
        <family val="1"/>
      </rPr>
      <t>Productos alimenticios para animales</t>
    </r>
  </si>
  <si>
    <r>
      <rPr>
        <sz val="10"/>
        <rFont val="Calibri"/>
        <family val="1"/>
      </rPr>
      <t>Alimentación de animales</t>
    </r>
  </si>
  <si>
    <r>
      <rPr>
        <sz val="10"/>
        <rFont val="Calibri"/>
        <family val="1"/>
      </rPr>
      <t>Utensilios para el servicio de alimentación</t>
    </r>
  </si>
  <si>
    <r>
      <rPr>
        <sz val="10"/>
        <rFont val="Calibri"/>
        <family val="1"/>
      </rPr>
      <t>MATERIAS PRIMAS Y MATERIALES DE PRODUCCIÓN Y COMERCIALIZACIÓN</t>
    </r>
  </si>
  <si>
    <r>
      <rPr>
        <sz val="10"/>
        <rFont val="Calibri"/>
        <family val="1"/>
      </rPr>
      <t>Productos alimenticios, agropecuarios y forestales adquiridos como materia prima</t>
    </r>
  </si>
  <si>
    <r>
      <rPr>
        <sz val="10"/>
        <rFont val="Calibri"/>
        <family val="1"/>
      </rPr>
      <t>Materias primas para producción</t>
    </r>
  </si>
  <si>
    <r>
      <rPr>
        <sz val="10"/>
        <rFont val="Calibri"/>
        <family val="1"/>
      </rPr>
      <t>Insumos textiles adquiridos como materia prima</t>
    </r>
  </si>
  <si>
    <r>
      <rPr>
        <sz val="10"/>
        <rFont val="Calibri"/>
        <family val="1"/>
      </rPr>
      <t>Productos de papel, cartón e impresos adquiridos como materia prima</t>
    </r>
  </si>
  <si>
    <r>
      <rPr>
        <sz val="10"/>
        <rFont val="Calibri"/>
        <family val="1"/>
      </rPr>
      <t>Combustibles, lubricantes, aditivos, carbón y sus derivados adquiridos como materia prima</t>
    </r>
  </si>
  <si>
    <r>
      <rPr>
        <sz val="10"/>
        <rFont val="Calibri"/>
        <family val="1"/>
      </rPr>
      <t>Productos químicos, farmacéuticos y de laboratorio adquiridos como materia prima</t>
    </r>
  </si>
  <si>
    <r>
      <rPr>
        <sz val="10"/>
        <rFont val="Calibri"/>
        <family val="1"/>
      </rPr>
      <t>Productos metálicos y a base de minerales no metálicos adquiridos como materia prima</t>
    </r>
  </si>
  <si>
    <r>
      <rPr>
        <sz val="10"/>
        <rFont val="Calibri"/>
        <family val="1"/>
      </rPr>
      <t>Productos de cuero, piel, plástico y hule adquiridos como materia prima</t>
    </r>
  </si>
  <si>
    <r>
      <rPr>
        <sz val="10"/>
        <rFont val="Calibri"/>
        <family val="1"/>
      </rPr>
      <t>Mercancías adquiridas para su comercialización</t>
    </r>
  </si>
  <si>
    <r>
      <rPr>
        <sz val="10"/>
        <rFont val="Calibri"/>
        <family val="1"/>
      </rPr>
      <t>MATERIALES Y ARTÍCULOS DE CONSTRUCCIÓN Y DE REPARACIÓN</t>
    </r>
  </si>
  <si>
    <r>
      <rPr>
        <sz val="10"/>
        <rFont val="Calibri"/>
        <family val="1"/>
      </rPr>
      <t>Productos minerales no metálicos</t>
    </r>
  </si>
  <si>
    <r>
      <rPr>
        <sz val="10"/>
        <rFont val="Calibri"/>
        <family val="1"/>
      </rPr>
      <t>Cemento y productos de concreto</t>
    </r>
  </si>
  <si>
    <r>
      <rPr>
        <sz val="10"/>
        <rFont val="Calibri"/>
        <family val="1"/>
      </rPr>
      <t>Cal, yeso y productos de yeso</t>
    </r>
  </si>
  <si>
    <r>
      <rPr>
        <sz val="10"/>
        <rFont val="Calibri"/>
        <family val="1"/>
      </rPr>
      <t>Madera y productos de madera</t>
    </r>
  </si>
  <si>
    <r>
      <rPr>
        <sz val="10"/>
        <rFont val="Calibri"/>
        <family val="1"/>
      </rPr>
      <t>Vidrio y productos de vidrio</t>
    </r>
  </si>
  <si>
    <r>
      <rPr>
        <sz val="10"/>
        <rFont val="Calibri"/>
        <family val="1"/>
      </rPr>
      <t>Material eléctrico y electrónico</t>
    </r>
  </si>
  <si>
    <r>
      <rPr>
        <sz val="10"/>
        <rFont val="Calibri"/>
        <family val="1"/>
      </rPr>
      <t>Material eléctrico</t>
    </r>
  </si>
  <si>
    <r>
      <rPr>
        <sz val="10"/>
        <rFont val="Calibri"/>
        <family val="1"/>
      </rPr>
      <t>Material electrónico</t>
    </r>
  </si>
  <si>
    <r>
      <rPr>
        <sz val="10"/>
        <rFont val="Calibri"/>
        <family val="1"/>
      </rPr>
      <t>Artículos metálicos para la construcción</t>
    </r>
  </si>
  <si>
    <r>
      <rPr>
        <sz val="10"/>
        <rFont val="Calibri"/>
        <family val="1"/>
      </rPr>
      <t>Materiales complementarios</t>
    </r>
  </si>
  <si>
    <r>
      <rPr>
        <sz val="10"/>
        <rFont val="Calibri"/>
        <family val="1"/>
      </rPr>
      <t>Otros materiales y artículos de construcción y reparación</t>
    </r>
  </si>
  <si>
    <r>
      <rPr>
        <sz val="10"/>
        <rFont val="Calibri"/>
        <family val="1"/>
      </rPr>
      <t>Materiales de construcción y complementarios</t>
    </r>
  </si>
  <si>
    <r>
      <rPr>
        <sz val="10"/>
        <rFont val="Calibri"/>
        <family val="1"/>
      </rPr>
      <t>Otros materiales de construcción y reparación</t>
    </r>
  </si>
  <si>
    <r>
      <rPr>
        <sz val="10"/>
        <rFont val="Calibri"/>
        <family val="1"/>
      </rPr>
      <t>PRODUCTOS QUÍMICOS, FARMACÉUTICOS Y DE LABORATORIO</t>
    </r>
  </si>
  <si>
    <r>
      <rPr>
        <sz val="10"/>
        <rFont val="Calibri"/>
        <family val="1"/>
      </rPr>
      <t>Productos químicos básicos</t>
    </r>
  </si>
  <si>
    <r>
      <rPr>
        <sz val="10"/>
        <rFont val="Calibri"/>
        <family val="1"/>
      </rPr>
      <t>Gas Refrigerante</t>
    </r>
  </si>
  <si>
    <r>
      <rPr>
        <sz val="10"/>
        <rFont val="Calibri"/>
        <family val="1"/>
      </rPr>
      <t>Fertilizantes, pesticidas y otros agroquímicos</t>
    </r>
  </si>
  <si>
    <r>
      <rPr>
        <sz val="10"/>
        <rFont val="Calibri"/>
        <family val="1"/>
      </rPr>
      <t>Medicinas y productos químicos, farmacéuticos</t>
    </r>
  </si>
  <si>
    <r>
      <rPr>
        <sz val="10"/>
        <rFont val="Calibri"/>
        <family val="1"/>
      </rPr>
      <t>Material y productos químicos, farmacéuticos</t>
    </r>
  </si>
  <si>
    <r>
      <rPr>
        <sz val="10"/>
        <rFont val="Calibri"/>
        <family val="1"/>
      </rPr>
      <t>Materiales, accesorios y suministros médicos</t>
    </r>
  </si>
  <si>
    <r>
      <rPr>
        <sz val="10"/>
        <rFont val="Calibri"/>
        <family val="1"/>
      </rPr>
      <t>Materiales, accesorios y suministros de laboratorio</t>
    </r>
  </si>
  <si>
    <r>
      <rPr>
        <sz val="10"/>
        <rFont val="Calibri"/>
        <family val="1"/>
      </rPr>
      <t>Fibras sintéticas, hules, plásticos y derivados</t>
    </r>
  </si>
  <si>
    <r>
      <rPr>
        <sz val="10"/>
        <rFont val="Calibri"/>
        <family val="1"/>
      </rPr>
      <t>Otros productos químicos</t>
    </r>
  </si>
  <si>
    <r>
      <rPr>
        <sz val="10"/>
        <rFont val="Calibri"/>
        <family val="1"/>
      </rPr>
      <t>COMBUSTIBLES, LUBRICANTES Y ADITIVOS</t>
    </r>
  </si>
  <si>
    <r>
      <rPr>
        <sz val="10"/>
        <rFont val="Calibri"/>
        <family val="1"/>
      </rPr>
      <t>Combustibles, lubricantes y aditivos</t>
    </r>
  </si>
  <si>
    <r>
      <rPr>
        <sz val="10"/>
        <rFont val="Calibri"/>
        <family val="1"/>
      </rPr>
      <t>Combustibles</t>
    </r>
  </si>
  <si>
    <r>
      <rPr>
        <sz val="10"/>
        <rFont val="Calibri"/>
        <family val="1"/>
      </rPr>
      <t>Lubricantes y aditivos</t>
    </r>
  </si>
  <si>
    <r>
      <rPr>
        <sz val="10"/>
        <rFont val="Calibri"/>
        <family val="1"/>
      </rPr>
      <t>Carbón y sus derivados</t>
    </r>
  </si>
  <si>
    <r>
      <rPr>
        <sz val="10"/>
        <rFont val="Calibri"/>
        <family val="1"/>
      </rPr>
      <t>VESTUARIO, BLANCOS, PRENDAS DE PROTECCIÓN Y ARTÍCULOS DEPORTIVOS</t>
    </r>
  </si>
  <si>
    <r>
      <rPr>
        <sz val="10"/>
        <rFont val="Calibri"/>
        <family val="1"/>
      </rPr>
      <t>Vestuario y uniformes</t>
    </r>
  </si>
  <si>
    <r>
      <rPr>
        <sz val="10"/>
        <rFont val="Calibri"/>
        <family val="1"/>
      </rPr>
      <t>Ropa, vestuario y equipo</t>
    </r>
  </si>
  <si>
    <r>
      <rPr>
        <sz val="10"/>
        <rFont val="Calibri"/>
        <family val="1"/>
      </rPr>
      <t>Prendas de seguridad y protección personal</t>
    </r>
  </si>
  <si>
    <r>
      <rPr>
        <sz val="10"/>
        <rFont val="Calibri"/>
        <family val="1"/>
      </rPr>
      <t>Materiales explosivos y de seguridad pública</t>
    </r>
  </si>
  <si>
    <r>
      <rPr>
        <sz val="10"/>
        <rFont val="Calibri"/>
        <family val="1"/>
      </rPr>
      <t>Artículos deportivos</t>
    </r>
  </si>
  <si>
    <r>
      <rPr>
        <sz val="10"/>
        <rFont val="Calibri"/>
        <family val="1"/>
      </rPr>
      <t>Productos textiles</t>
    </r>
  </si>
  <si>
    <r>
      <rPr>
        <sz val="10"/>
        <rFont val="Calibri"/>
        <family val="1"/>
      </rPr>
      <t>Blancos y otros productos textiles, excepto prendas de vestir</t>
    </r>
  </si>
  <si>
    <r>
      <rPr>
        <sz val="10"/>
        <rFont val="Calibri"/>
        <family val="1"/>
      </rPr>
      <t>MATERIALES Y SUMINISTROS PARA SEGURIDAD</t>
    </r>
  </si>
  <si>
    <r>
      <rPr>
        <sz val="10"/>
        <rFont val="Calibri"/>
        <family val="1"/>
      </rPr>
      <t>Sustancias y materiales explosivos</t>
    </r>
  </si>
  <si>
    <r>
      <rPr>
        <sz val="10"/>
        <rFont val="Calibri"/>
        <family val="1"/>
      </rPr>
      <t>Materiales de seguridad pública</t>
    </r>
  </si>
  <si>
    <r>
      <rPr>
        <sz val="10"/>
        <rFont val="Calibri"/>
        <family val="1"/>
      </rPr>
      <t>Prendas de protección para seguridad pública y nacional</t>
    </r>
  </si>
  <si>
    <r>
      <rPr>
        <sz val="10"/>
        <rFont val="Calibri"/>
        <family val="1"/>
      </rPr>
      <t>Prendas de protección para seguridad pública</t>
    </r>
  </si>
  <si>
    <r>
      <rPr>
        <sz val="10"/>
        <rFont val="Calibri"/>
        <family val="1"/>
      </rPr>
      <t>HERRAMIENTAS, REFACCIONES Y ACCESORIOS MENORES</t>
    </r>
  </si>
  <si>
    <r>
      <rPr>
        <sz val="10"/>
        <rFont val="Calibri"/>
        <family val="1"/>
      </rPr>
      <t>Herramientas menores</t>
    </r>
  </si>
  <si>
    <r>
      <rPr>
        <sz val="10"/>
        <rFont val="Calibri"/>
        <family val="1"/>
      </rPr>
      <t>Herramientas Auxiliares de Trabajo</t>
    </r>
  </si>
  <si>
    <r>
      <rPr>
        <sz val="10"/>
        <rFont val="Calibri"/>
        <family val="1"/>
      </rPr>
      <t>Refacciones y accesorios menores de edificios</t>
    </r>
  </si>
  <si>
    <r>
      <rPr>
        <sz val="10"/>
        <rFont val="Calibri"/>
        <family val="1"/>
      </rPr>
      <t>Refacciones y accesorios menores de edificios (candados, cerraduras, chapas, llaves)</t>
    </r>
  </si>
  <si>
    <r>
      <rPr>
        <sz val="10"/>
        <rFont val="Calibri"/>
        <family val="1"/>
      </rPr>
      <t>Refacciones y accesorios menores de mobiliario y equipo de administración, educacional y recreativo</t>
    </r>
  </si>
  <si>
    <r>
      <rPr>
        <sz val="10"/>
        <rFont val="Calibri"/>
        <family val="1"/>
      </rPr>
      <t>Refacciones y accesorios menores de equipo de cómputo y tecnologías de la información</t>
    </r>
  </si>
  <si>
    <r>
      <rPr>
        <sz val="10"/>
        <rFont val="Calibri"/>
        <family val="1"/>
      </rPr>
      <t>Dispositivos Internos y Externos de Equipo de Computo</t>
    </r>
  </si>
  <si>
    <r>
      <rPr>
        <sz val="10"/>
        <rFont val="Calibri"/>
        <family val="1"/>
      </rPr>
      <t>Refacciones y Accesorios Menores de Equipo de Computo</t>
    </r>
  </si>
  <si>
    <r>
      <rPr>
        <sz val="10"/>
        <rFont val="Calibri"/>
        <family val="1"/>
      </rPr>
      <t>Refacciones y accesorios menores de equipo e instrumental médico y de laboratorio</t>
    </r>
  </si>
  <si>
    <r>
      <rPr>
        <sz val="10"/>
        <rFont val="Calibri"/>
        <family val="1"/>
      </rPr>
      <t>Refacciones y accesorios menores de equipo de transporte</t>
    </r>
  </si>
  <si>
    <r>
      <rPr>
        <sz val="10"/>
        <rFont val="Calibri"/>
        <family val="1"/>
      </rPr>
      <t>Herramientas, refacciones y accesorios</t>
    </r>
  </si>
  <si>
    <r>
      <rPr>
        <sz val="10"/>
        <rFont val="Calibri"/>
        <family val="1"/>
      </rPr>
      <t>Refacciones y accesorios menores de equipo de defensa y seguridad</t>
    </r>
  </si>
  <si>
    <r>
      <rPr>
        <sz val="10"/>
        <rFont val="Calibri"/>
        <family val="1"/>
      </rPr>
      <t>Refacciones y accesorios menores de maquinaria y otros equipos</t>
    </r>
  </si>
  <si>
    <r>
      <rPr>
        <sz val="10"/>
        <rFont val="Calibri"/>
        <family val="1"/>
      </rPr>
      <t>Refacciones y accesorios menores otros bienes muebles</t>
    </r>
  </si>
  <si>
    <r>
      <rPr>
        <b/>
        <sz val="12"/>
        <rFont val="Calibri"/>
        <family val="1"/>
      </rPr>
      <t>SERVICIOS GENERALES</t>
    </r>
  </si>
  <si>
    <r>
      <rPr>
        <sz val="10"/>
        <rFont val="Calibri"/>
        <family val="1"/>
      </rPr>
      <t>SERVICIOS BÁSICOS</t>
    </r>
  </si>
  <si>
    <r>
      <rPr>
        <sz val="10"/>
        <rFont val="Calibri"/>
        <family val="1"/>
      </rPr>
      <t>Energía eléctrica</t>
    </r>
  </si>
  <si>
    <r>
      <rPr>
        <sz val="10"/>
        <rFont val="Calibri"/>
        <family val="1"/>
      </rPr>
      <t>Servicio de energía eléctrica</t>
    </r>
  </si>
  <si>
    <r>
      <rPr>
        <sz val="10"/>
        <rFont val="Calibri"/>
        <family val="1"/>
      </rPr>
      <t>Contratación del servicio de energía eléctrica</t>
    </r>
  </si>
  <si>
    <r>
      <rPr>
        <sz val="10"/>
        <rFont val="Calibri"/>
        <family val="1"/>
      </rPr>
      <t>Gas</t>
    </r>
  </si>
  <si>
    <r>
      <rPr>
        <sz val="10"/>
        <rFont val="Calibri"/>
        <family val="1"/>
      </rPr>
      <t>Servicio de Gas L.P.</t>
    </r>
  </si>
  <si>
    <r>
      <rPr>
        <sz val="10"/>
        <rFont val="Calibri"/>
        <family val="1"/>
      </rPr>
      <t>Agua</t>
    </r>
  </si>
  <si>
    <r>
      <rPr>
        <sz val="10"/>
        <rFont val="Calibri"/>
        <family val="1"/>
      </rPr>
      <t>Servicio de agua potable</t>
    </r>
  </si>
  <si>
    <r>
      <rPr>
        <sz val="10"/>
        <rFont val="Calibri"/>
        <family val="1"/>
      </rPr>
      <t>Contratación del servicio de agua potable</t>
    </r>
  </si>
  <si>
    <r>
      <rPr>
        <sz val="10"/>
        <rFont val="Calibri"/>
        <family val="1"/>
      </rPr>
      <t>Telefonía tradicional</t>
    </r>
  </si>
  <si>
    <r>
      <rPr>
        <sz val="10"/>
        <rFont val="Calibri"/>
        <family val="1"/>
      </rPr>
      <t>Servicio telefónico</t>
    </r>
  </si>
  <si>
    <r>
      <rPr>
        <sz val="10"/>
        <rFont val="Calibri"/>
        <family val="1"/>
      </rPr>
      <t>Telefonía celular</t>
    </r>
  </si>
  <si>
    <r>
      <rPr>
        <sz val="10"/>
        <rFont val="Calibri"/>
        <family val="1"/>
      </rPr>
      <t>Servicios de telecomunicaciones y satélites</t>
    </r>
  </si>
  <si>
    <r>
      <rPr>
        <sz val="10"/>
        <rFont val="Calibri"/>
        <family val="1"/>
      </rPr>
      <t>Servicios de acceso de Internet, redes y procesamiento de información</t>
    </r>
  </si>
  <si>
    <r>
      <rPr>
        <sz val="10"/>
        <rFont val="Calibri"/>
        <family val="1"/>
      </rPr>
      <t>Servicios postales y telegráficos</t>
    </r>
  </si>
  <si>
    <r>
      <rPr>
        <sz val="10"/>
        <rFont val="Calibri"/>
        <family val="1"/>
      </rPr>
      <t>Servicio postal y telegráfico</t>
    </r>
  </si>
  <si>
    <r>
      <rPr>
        <sz val="10"/>
        <rFont val="Calibri"/>
        <family val="1"/>
      </rPr>
      <t>Servicios integrales y otros servicios</t>
    </r>
  </si>
  <si>
    <r>
      <rPr>
        <sz val="10"/>
        <rFont val="Calibri"/>
        <family val="1"/>
      </rPr>
      <t>Servicios Integrales</t>
    </r>
  </si>
  <si>
    <r>
      <rPr>
        <sz val="10"/>
        <rFont val="Calibri"/>
        <family val="1"/>
      </rPr>
      <t>SERVICIOS DE ARRENDAMIENTO</t>
    </r>
  </si>
  <si>
    <r>
      <rPr>
        <sz val="10"/>
        <rFont val="Calibri"/>
        <family val="1"/>
      </rPr>
      <t>Arrendamiento de terrenos</t>
    </r>
  </si>
  <si>
    <r>
      <rPr>
        <sz val="10"/>
        <rFont val="Calibri"/>
        <family val="1"/>
      </rPr>
      <t>Arrendamiento de edificios</t>
    </r>
  </si>
  <si>
    <r>
      <rPr>
        <sz val="10"/>
        <rFont val="Calibri"/>
        <family val="1"/>
      </rPr>
      <t>Arrendamiento de mobiliario y equipo de administración, educacional y recreativo</t>
    </r>
  </si>
  <si>
    <r>
      <rPr>
        <sz val="10"/>
        <rFont val="Calibri"/>
        <family val="1"/>
      </rPr>
      <t>Arrendamiento de maquinaria y equipo</t>
    </r>
  </si>
  <si>
    <r>
      <rPr>
        <sz val="10"/>
        <rFont val="Calibri"/>
        <family val="1"/>
      </rPr>
      <t>Arrendamiento de maquinaria y equipo de Administración</t>
    </r>
  </si>
  <si>
    <r>
      <rPr>
        <sz val="10"/>
        <rFont val="Calibri"/>
        <family val="1"/>
      </rPr>
      <t>Arrendamiento de Equipo Educacional y Recreativo</t>
    </r>
  </si>
  <si>
    <r>
      <rPr>
        <sz val="10"/>
        <rFont val="Calibri"/>
        <family val="1"/>
      </rPr>
      <t>Arrendamiento de Mobiliario y Equipo</t>
    </r>
  </si>
  <si>
    <r>
      <rPr>
        <sz val="10"/>
        <rFont val="Calibri"/>
        <family val="1"/>
      </rPr>
      <t>Arrendamiento de equipo e instrumental médico y de laboratorio</t>
    </r>
  </si>
  <si>
    <r>
      <rPr>
        <sz val="10"/>
        <rFont val="Calibri"/>
        <family val="1"/>
      </rPr>
      <t>Arrendamiento de equipo de transporte</t>
    </r>
  </si>
  <si>
    <r>
      <rPr>
        <sz val="10"/>
        <rFont val="Calibri"/>
        <family val="1"/>
      </rPr>
      <t>Arrendamiento de maquinaria, otros equipos y herramientas</t>
    </r>
  </si>
  <si>
    <r>
      <rPr>
        <sz val="10"/>
        <rFont val="Calibri"/>
        <family val="1"/>
      </rPr>
      <t>Arrendamiento de activos intangibles</t>
    </r>
  </si>
  <si>
    <r>
      <rPr>
        <sz val="10"/>
        <rFont val="Calibri"/>
        <family val="1"/>
      </rPr>
      <t>Arrendamiento financiero</t>
    </r>
  </si>
  <si>
    <r>
      <rPr>
        <sz val="10"/>
        <rFont val="Calibri"/>
        <family val="1"/>
      </rPr>
      <t>Programa Estatal de Arrendamiento Vehicular</t>
    </r>
  </si>
  <si>
    <r>
      <rPr>
        <sz val="10"/>
        <rFont val="Calibri"/>
        <family val="1"/>
      </rPr>
      <t>Otros arrendamientos</t>
    </r>
  </si>
  <si>
    <r>
      <rPr>
        <sz val="10"/>
        <rFont val="Calibri"/>
        <family val="1"/>
      </rPr>
      <t>Arrendamientos especiales</t>
    </r>
  </si>
  <si>
    <r>
      <rPr>
        <sz val="10"/>
        <rFont val="Calibri"/>
        <family val="1"/>
      </rPr>
      <t>SERVICIOS PROFESIONALES, CIENTÍFICOS, TÉCNICOS Y OTROS SERVICIOS</t>
    </r>
  </si>
  <si>
    <r>
      <rPr>
        <sz val="10"/>
        <rFont val="Calibri"/>
        <family val="1"/>
      </rPr>
      <t>Servicios legales, de contabilidad, auditoría y relacionados</t>
    </r>
  </si>
  <si>
    <r>
      <rPr>
        <sz val="10"/>
        <rFont val="Calibri"/>
        <family val="1"/>
      </rPr>
      <t>Asesorías</t>
    </r>
  </si>
  <si>
    <r>
      <rPr>
        <sz val="10"/>
        <rFont val="Calibri"/>
        <family val="1"/>
      </rPr>
      <t>Servicios Notariales</t>
    </r>
  </si>
  <si>
    <r>
      <rPr>
        <sz val="10"/>
        <rFont val="Calibri"/>
        <family val="1"/>
      </rPr>
      <t>Consultoría y Gestión</t>
    </r>
  </si>
  <si>
    <r>
      <rPr>
        <sz val="10"/>
        <rFont val="Calibri"/>
        <family val="1"/>
      </rPr>
      <t>Servicios de diseño, arquitectura, ingeniería y actividades relacionadas</t>
    </r>
  </si>
  <si>
    <r>
      <rPr>
        <sz val="10"/>
        <rFont val="Calibri"/>
        <family val="1"/>
      </rPr>
      <t>Servicios de consultoría administrativa, procesos, técnica y en tecnologías de la información</t>
    </r>
  </si>
  <si>
    <r>
      <rPr>
        <sz val="10"/>
        <rFont val="Calibri"/>
        <family val="1"/>
      </rPr>
      <t>Estudios e investigaciones</t>
    </r>
  </si>
  <si>
    <r>
      <rPr>
        <sz val="10"/>
        <rFont val="Calibri"/>
        <family val="1"/>
      </rPr>
      <t>Sistematización de la Armonización Contable y Presupuestal</t>
    </r>
  </si>
  <si>
    <r>
      <rPr>
        <sz val="10"/>
        <rFont val="Calibri"/>
        <family val="1"/>
      </rPr>
      <t>Servicios de capacitación</t>
    </r>
  </si>
  <si>
    <r>
      <rPr>
        <sz val="10"/>
        <rFont val="Calibri"/>
        <family val="1"/>
      </rPr>
      <t>Cuotas e inscripciones</t>
    </r>
  </si>
  <si>
    <r>
      <rPr>
        <sz val="10"/>
        <rFont val="Calibri"/>
        <family val="1"/>
      </rPr>
      <t>Servicios de Capacitación</t>
    </r>
  </si>
  <si>
    <r>
      <rPr>
        <sz val="10"/>
        <rFont val="Calibri"/>
        <family val="1"/>
      </rPr>
      <t>Servicios de investigación científica y desarrollo</t>
    </r>
  </si>
  <si>
    <r>
      <rPr>
        <sz val="10"/>
        <rFont val="Calibri"/>
        <family val="1"/>
      </rPr>
      <t>Servicios de apoyo administrativo, traducción, fotocopiado e impresión</t>
    </r>
  </si>
  <si>
    <r>
      <rPr>
        <sz val="10"/>
        <rFont val="Calibri"/>
        <family val="1"/>
      </rPr>
      <t>Servicio de Fotocopiado, Enmicado y Encuadernación de Documentos.</t>
    </r>
  </si>
  <si>
    <r>
      <rPr>
        <sz val="10"/>
        <rFont val="Calibri"/>
        <family val="1"/>
      </rPr>
      <t>Servicio de Impresión y Elaboración de Material Informativo</t>
    </r>
  </si>
  <si>
    <r>
      <rPr>
        <sz val="10"/>
        <rFont val="Calibri"/>
        <family val="1"/>
      </rPr>
      <t>Servicios de protección y seguridad</t>
    </r>
  </si>
  <si>
    <r>
      <rPr>
        <sz val="10"/>
        <rFont val="Calibri"/>
        <family val="1"/>
      </rPr>
      <t>Dispositivo de seguridad pública</t>
    </r>
  </si>
  <si>
    <r>
      <rPr>
        <sz val="10"/>
        <rFont val="Calibri"/>
        <family val="1"/>
      </rPr>
      <t>Servicios de vigilancia</t>
    </r>
  </si>
  <si>
    <r>
      <rPr>
        <sz val="10"/>
        <rFont val="Calibri"/>
        <family val="1"/>
      </rPr>
      <t>Servicio de seguridad privada</t>
    </r>
  </si>
  <si>
    <r>
      <rPr>
        <sz val="10"/>
        <rFont val="Calibri"/>
        <family val="1"/>
      </rPr>
      <t>Servicios profesionales, científicos y técnicos integrales</t>
    </r>
  </si>
  <si>
    <r>
      <rPr>
        <sz val="10"/>
        <rFont val="Calibri"/>
        <family val="1"/>
      </rPr>
      <t>SERVICIOS FINANCIEROS, BANCARIOS Y COMERCIALES</t>
    </r>
  </si>
  <si>
    <r>
      <rPr>
        <sz val="10"/>
        <rFont val="Calibri"/>
        <family val="1"/>
      </rPr>
      <t>Servicios financieros y bancarios</t>
    </r>
  </si>
  <si>
    <r>
      <rPr>
        <sz val="10"/>
        <rFont val="Calibri"/>
        <family val="1"/>
      </rPr>
      <t>Comisiones, descuentos y otros servicios bancarios</t>
    </r>
  </si>
  <si>
    <r>
      <rPr>
        <sz val="10"/>
        <rFont val="Calibri"/>
        <family val="1"/>
      </rPr>
      <t>Servicios de cobranza, investigación crediticia y similar</t>
    </r>
  </si>
  <si>
    <r>
      <rPr>
        <sz val="10"/>
        <rFont val="Calibri"/>
        <family val="1"/>
      </rPr>
      <t>Servicios de recaudación, traslado y custodia de valores</t>
    </r>
  </si>
  <si>
    <r>
      <rPr>
        <sz val="10"/>
        <rFont val="Calibri"/>
        <family val="1"/>
      </rPr>
      <t>Seguros de responsabilidad patrimonial y fianzas</t>
    </r>
  </si>
  <si>
    <r>
      <rPr>
        <sz val="10"/>
        <rFont val="Calibri"/>
        <family val="1"/>
      </rPr>
      <t>Seguro de bienes patrimoniales</t>
    </r>
  </si>
  <si>
    <r>
      <rPr>
        <sz val="10"/>
        <rFont val="Calibri"/>
        <family val="1"/>
      </rPr>
      <t>Seguros</t>
    </r>
  </si>
  <si>
    <r>
      <rPr>
        <sz val="10"/>
        <rFont val="Calibri"/>
        <family val="1"/>
      </rPr>
      <t>Almacenaje, envase y embalaje</t>
    </r>
  </si>
  <si>
    <r>
      <rPr>
        <sz val="10"/>
        <rFont val="Calibri"/>
        <family val="1"/>
      </rPr>
      <t>Fletes y maniobras</t>
    </r>
  </si>
  <si>
    <r>
      <rPr>
        <sz val="10"/>
        <rFont val="Calibri"/>
        <family val="1"/>
      </rPr>
      <t>Fletes, maniobras y almacenaje</t>
    </r>
  </si>
  <si>
    <r>
      <rPr>
        <sz val="10"/>
        <rFont val="Calibri"/>
        <family val="1"/>
      </rPr>
      <t>Comisiones por ventas</t>
    </r>
  </si>
  <si>
    <r>
      <rPr>
        <sz val="10"/>
        <rFont val="Calibri"/>
        <family val="1"/>
      </rPr>
      <t>Servicios financieros, bancarios y comerciales integrales</t>
    </r>
  </si>
  <si>
    <r>
      <rPr>
        <sz val="10"/>
        <rFont val="Calibri"/>
        <family val="1"/>
      </rPr>
      <t>SERVICIOS DE INSTALACIÓN, REPARACIÓN, MANTENIMIENTO Y CONSERVACIÓN</t>
    </r>
  </si>
  <si>
    <r>
      <rPr>
        <sz val="10"/>
        <rFont val="Calibri"/>
        <family val="1"/>
      </rPr>
      <t>Conservación y mantenimiento menor de inmuebles</t>
    </r>
  </si>
  <si>
    <r>
      <rPr>
        <sz val="10"/>
        <rFont val="Calibri"/>
        <family val="1"/>
      </rPr>
      <t>Mantenimiento de inmuebles</t>
    </r>
  </si>
  <si>
    <r>
      <rPr>
        <sz val="10"/>
        <rFont val="Calibri"/>
        <family val="1"/>
      </rPr>
      <t>Fumigación de Inmuebles</t>
    </r>
  </si>
  <si>
    <r>
      <rPr>
        <sz val="10"/>
        <rFont val="Calibri"/>
        <family val="1"/>
      </rPr>
      <t>Mantto. y Conserv. de Inmuebles Sub Proc. Zona Norte</t>
    </r>
  </si>
  <si>
    <r>
      <rPr>
        <sz val="10"/>
        <rFont val="Calibri"/>
        <family val="1"/>
      </rPr>
      <t>Instalación, reparación y mantenimiento de mobiliario y equipo de administración, educacional y recreativo</t>
    </r>
  </si>
  <si>
    <r>
      <rPr>
        <sz val="10"/>
        <rFont val="Calibri"/>
        <family val="1"/>
      </rPr>
      <t>Mantenimiento de mobiliario y equipo</t>
    </r>
  </si>
  <si>
    <r>
      <rPr>
        <sz val="10"/>
        <rFont val="Calibri"/>
        <family val="1"/>
      </rPr>
      <t>Gastos de instalación</t>
    </r>
  </si>
  <si>
    <r>
      <rPr>
        <sz val="10"/>
        <rFont val="Calibri"/>
        <family val="1"/>
      </rPr>
      <t>Mantto. y Conservación Archivo General de Notarias del Gob. del Edo.</t>
    </r>
  </si>
  <si>
    <r>
      <rPr>
        <sz val="10"/>
        <rFont val="Calibri"/>
        <family val="1"/>
      </rPr>
      <t>Instalación, reparación y mantenimiento de equipo de cómputo y tecnología de la información</t>
    </r>
  </si>
  <si>
    <r>
      <rPr>
        <sz val="10"/>
        <rFont val="Calibri"/>
        <family val="1"/>
      </rPr>
      <t>Instalación, reparación y mantenimiento de equipo de cómputo y tecnología  de la información</t>
    </r>
  </si>
  <si>
    <r>
      <rPr>
        <sz val="10"/>
        <rFont val="Calibri"/>
        <family val="1"/>
      </rPr>
      <t>Instalación, reparación y mantenimiento de equipo e instrumental médico y de laboratorio</t>
    </r>
  </si>
  <si>
    <r>
      <rPr>
        <sz val="10"/>
        <rFont val="Calibri"/>
        <family val="1"/>
      </rPr>
      <t>Reparación y mantenimiento de equipo de transporte</t>
    </r>
  </si>
  <si>
    <r>
      <rPr>
        <sz val="10"/>
        <rFont val="Calibri"/>
        <family val="1"/>
      </rPr>
      <t>Mantto. y conservación de vehículos terrestres, aéreos, marítimos, lacustres y fluviales</t>
    </r>
  </si>
  <si>
    <r>
      <rPr>
        <sz val="10"/>
        <rFont val="Calibri"/>
        <family val="1"/>
      </rPr>
      <t>Reparación y mantenimiento de equipo de defensa y seguridad</t>
    </r>
  </si>
  <si>
    <r>
      <rPr>
        <sz val="10"/>
        <rFont val="Calibri"/>
        <family val="1"/>
      </rPr>
      <t>Instalación, reparación y mantenimiento de maquinaria, otros equipos y herramienta</t>
    </r>
  </si>
  <si>
    <r>
      <rPr>
        <sz val="10"/>
        <rFont val="Calibri"/>
        <family val="1"/>
      </rPr>
      <t>Instalación, reparación y mantenimiento de Equipo de Telecomunicaciones</t>
    </r>
  </si>
  <si>
    <r>
      <rPr>
        <sz val="10"/>
        <rFont val="Calibri"/>
        <family val="1"/>
      </rPr>
      <t>Servicios de limpieza y manejo de desechos</t>
    </r>
  </si>
  <si>
    <r>
      <rPr>
        <sz val="10"/>
        <rFont val="Calibri"/>
        <family val="1"/>
      </rPr>
      <t>Servicios de higiene y limpieza</t>
    </r>
  </si>
  <si>
    <r>
      <rPr>
        <sz val="10"/>
        <rFont val="Calibri"/>
        <family val="1"/>
      </rPr>
      <t>Servicios de Limpieza y Lavado de Vehículos</t>
    </r>
  </si>
  <si>
    <r>
      <rPr>
        <sz val="10"/>
        <rFont val="Calibri"/>
        <family val="1"/>
      </rPr>
      <t>Servicios de Lavandería</t>
    </r>
  </si>
  <si>
    <r>
      <rPr>
        <sz val="10"/>
        <rFont val="Calibri"/>
        <family val="1"/>
      </rPr>
      <t>Servicios de jardinería y fumigación</t>
    </r>
  </si>
  <si>
    <r>
      <rPr>
        <sz val="10"/>
        <rFont val="Calibri"/>
        <family val="1"/>
      </rPr>
      <t>Árboles, plantas, semillas y abonos</t>
    </r>
  </si>
  <si>
    <r>
      <rPr>
        <sz val="10"/>
        <rFont val="Calibri"/>
        <family val="1"/>
      </rPr>
      <t>Fumigación de áreas verdes</t>
    </r>
  </si>
  <si>
    <r>
      <rPr>
        <sz val="10"/>
        <rFont val="Calibri"/>
        <family val="1"/>
      </rPr>
      <t>SERVICIOS DE COMUNICACIÓN SOCIAL Y PUBLICIDAD</t>
    </r>
  </si>
  <si>
    <r>
      <rPr>
        <sz val="10"/>
        <rFont val="Calibri"/>
        <family val="1"/>
      </rPr>
      <t>Difusión por radio, televisión y otros medios de mensajes sobre programas y actividades gubernamentales</t>
    </r>
  </si>
  <si>
    <r>
      <rPr>
        <sz val="10"/>
        <rFont val="Calibri"/>
        <family val="1"/>
      </rPr>
      <t>Gastos de difusión</t>
    </r>
  </si>
  <si>
    <r>
      <rPr>
        <sz val="10"/>
        <rFont val="Calibri"/>
        <family val="1"/>
      </rPr>
      <t>Impresiones y publicaciones oficiales</t>
    </r>
  </si>
  <si>
    <r>
      <rPr>
        <sz val="10"/>
        <rFont val="Calibri"/>
        <family val="1"/>
      </rPr>
      <t>Rotulaciones oficiales</t>
    </r>
  </si>
  <si>
    <r>
      <rPr>
        <sz val="10"/>
        <rFont val="Calibri"/>
        <family val="1"/>
      </rPr>
      <t>Publicación de convocatorias</t>
    </r>
  </si>
  <si>
    <r>
      <rPr>
        <sz val="10"/>
        <rFont val="Calibri"/>
        <family val="1"/>
      </rPr>
      <t>Difusión por radio, televisión y otros medios de mensajes comerciales para promover la venta de bienes o servicios</t>
    </r>
  </si>
  <si>
    <r>
      <rPr>
        <sz val="10"/>
        <rFont val="Calibri"/>
        <family val="1"/>
      </rPr>
      <t>Difusión por radio, televisión y otros medios de mensajes comerciales para promover la venta de bienes o servicios, fuera del país</t>
    </r>
  </si>
  <si>
    <r>
      <rPr>
        <sz val="10"/>
        <rFont val="Calibri"/>
        <family val="1"/>
      </rPr>
      <t>Servicios de creatividad, preproducción y producción de publicidad, excepto Internet</t>
    </r>
  </si>
  <si>
    <r>
      <rPr>
        <sz val="10"/>
        <rFont val="Calibri"/>
        <family val="1"/>
      </rPr>
      <t>Servicios de Producción y Diseño Publicitario</t>
    </r>
  </si>
  <si>
    <r>
      <rPr>
        <sz val="10"/>
        <rFont val="Calibri"/>
        <family val="1"/>
      </rPr>
      <t>Servicios de revelado de fotografías</t>
    </r>
  </si>
  <si>
    <r>
      <rPr>
        <sz val="10"/>
        <rFont val="Calibri"/>
        <family val="1"/>
      </rPr>
      <t>Revelado de Fotografías</t>
    </r>
  </si>
  <si>
    <r>
      <rPr>
        <sz val="10"/>
        <rFont val="Calibri"/>
        <family val="1"/>
      </rPr>
      <t>Servicios de la industria fílmica, del sonido y del video</t>
    </r>
  </si>
  <si>
    <r>
      <rPr>
        <sz val="10"/>
        <rFont val="Calibri"/>
        <family val="1"/>
      </rPr>
      <t>Servicio de creación y difusión de contenido exclusivamente a través de Internet</t>
    </r>
  </si>
  <si>
    <r>
      <rPr>
        <sz val="10"/>
        <rFont val="Calibri"/>
        <family val="1"/>
      </rPr>
      <t>Gastos de difusión a través de internet</t>
    </r>
  </si>
  <si>
    <r>
      <rPr>
        <sz val="10"/>
        <rFont val="Calibri"/>
        <family val="1"/>
      </rPr>
      <t>Otros servicios de información</t>
    </r>
  </si>
  <si>
    <r>
      <rPr>
        <sz val="10"/>
        <rFont val="Calibri"/>
        <family val="1"/>
      </rPr>
      <t>Monitoreo de Información y Encuestas</t>
    </r>
  </si>
  <si>
    <r>
      <rPr>
        <sz val="10"/>
        <rFont val="Calibri"/>
        <family val="1"/>
      </rPr>
      <t>SERVICIOS DE TRASLADO Y VIÁTICOS</t>
    </r>
  </si>
  <si>
    <r>
      <rPr>
        <sz val="10"/>
        <rFont val="Calibri"/>
        <family val="1"/>
      </rPr>
      <t>Pasajes aéreos</t>
    </r>
  </si>
  <si>
    <r>
      <rPr>
        <sz val="10"/>
        <rFont val="Calibri"/>
        <family val="1"/>
      </rPr>
      <t>Pasajes terrestres</t>
    </r>
  </si>
  <si>
    <r>
      <rPr>
        <sz val="10"/>
        <rFont val="Calibri"/>
        <family val="1"/>
      </rPr>
      <t>Pasajes marítimos, lacustres y fluviales</t>
    </r>
  </si>
  <si>
    <r>
      <rPr>
        <sz val="10"/>
        <rFont val="Calibri"/>
        <family val="1"/>
      </rPr>
      <t>Pasajes marítimos</t>
    </r>
  </si>
  <si>
    <r>
      <rPr>
        <sz val="10"/>
        <rFont val="Calibri"/>
        <family val="1"/>
      </rPr>
      <t>Autotransporte</t>
    </r>
  </si>
  <si>
    <r>
      <rPr>
        <sz val="10"/>
        <rFont val="Calibri"/>
        <family val="1"/>
      </rPr>
      <t>Viáticos en el país</t>
    </r>
  </si>
  <si>
    <r>
      <rPr>
        <sz val="10"/>
        <rFont val="Calibri"/>
        <family val="1"/>
      </rPr>
      <t>Viáticos</t>
    </r>
  </si>
  <si>
    <r>
      <rPr>
        <sz val="10"/>
        <rFont val="Calibri"/>
        <family val="1"/>
      </rPr>
      <t>Viáticos en el extranjero</t>
    </r>
  </si>
  <si>
    <r>
      <rPr>
        <sz val="10"/>
        <rFont val="Calibri"/>
        <family val="1"/>
      </rPr>
      <t>Gastos de instalación y traslado de menaje</t>
    </r>
  </si>
  <si>
    <r>
      <rPr>
        <sz val="10"/>
        <rFont val="Calibri"/>
        <family val="1"/>
      </rPr>
      <t>Servicios integrales de traslado y viáticos</t>
    </r>
  </si>
  <si>
    <r>
      <rPr>
        <sz val="10"/>
        <rFont val="Calibri"/>
        <family val="1"/>
      </rPr>
      <t>Diligencias judiciales</t>
    </r>
  </si>
  <si>
    <r>
      <rPr>
        <sz val="10"/>
        <rFont val="Calibri"/>
        <family val="1"/>
      </rPr>
      <t>Otros servicios de traslado y hospedaje</t>
    </r>
  </si>
  <si>
    <r>
      <rPr>
        <sz val="10"/>
        <rFont val="Calibri"/>
        <family val="1"/>
      </rPr>
      <t>Traslado de vehículos</t>
    </r>
  </si>
  <si>
    <r>
      <rPr>
        <sz val="10"/>
        <rFont val="Calibri"/>
        <family val="1"/>
      </rPr>
      <t>Gastos de traslado de personas</t>
    </r>
  </si>
  <si>
    <r>
      <rPr>
        <sz val="10"/>
        <rFont val="Calibri"/>
        <family val="1"/>
      </rPr>
      <t>Hospedaje de personas</t>
    </r>
  </si>
  <si>
    <r>
      <rPr>
        <sz val="10"/>
        <rFont val="Calibri"/>
        <family val="1"/>
      </rPr>
      <t>SERVICIOS OFICIALES</t>
    </r>
  </si>
  <si>
    <r>
      <rPr>
        <sz val="10"/>
        <rFont val="Calibri"/>
        <family val="1"/>
      </rPr>
      <t>Gastos de ceremonial</t>
    </r>
  </si>
  <si>
    <r>
      <rPr>
        <sz val="10"/>
        <rFont val="Calibri"/>
        <family val="1"/>
      </rPr>
      <t>Atención a personalidades nacionales y extranjeras</t>
    </r>
  </si>
  <si>
    <r>
      <rPr>
        <sz val="10"/>
        <rFont val="Calibri"/>
        <family val="1"/>
      </rPr>
      <t>Gastos de orden social y cultural</t>
    </r>
  </si>
  <si>
    <r>
      <rPr>
        <sz val="10"/>
        <rFont val="Calibri"/>
        <family val="1"/>
      </rPr>
      <t>Espectáculos y actividades culturales</t>
    </r>
  </si>
  <si>
    <r>
      <rPr>
        <sz val="10"/>
        <rFont val="Calibri"/>
        <family val="1"/>
      </rPr>
      <t>Gastos de recepción, conmemorativos y de orden social</t>
    </r>
  </si>
  <si>
    <r>
      <rPr>
        <sz val="10"/>
        <rFont val="Calibri"/>
        <family val="1"/>
      </rPr>
      <t>Adaptaciones para eventos sociales y culturales</t>
    </r>
  </si>
  <si>
    <r>
      <rPr>
        <sz val="10"/>
        <rFont val="Calibri"/>
        <family val="1"/>
      </rPr>
      <t>Festividades y Eventos</t>
    </r>
  </si>
  <si>
    <r>
      <rPr>
        <sz val="10"/>
        <rFont val="Calibri"/>
        <family val="1"/>
      </rPr>
      <t>Congresos y convenciones</t>
    </r>
  </si>
  <si>
    <r>
      <rPr>
        <sz val="10"/>
        <rFont val="Calibri"/>
        <family val="1"/>
      </rPr>
      <t>Exposiciones</t>
    </r>
  </si>
  <si>
    <r>
      <rPr>
        <sz val="10"/>
        <rFont val="Calibri"/>
        <family val="1"/>
      </rPr>
      <t>Gastos de representación</t>
    </r>
  </si>
  <si>
    <r>
      <rPr>
        <sz val="10"/>
        <rFont val="Calibri"/>
        <family val="1"/>
      </rPr>
      <t>OTROS SERVICIOS GENERALES</t>
    </r>
  </si>
  <si>
    <r>
      <rPr>
        <sz val="10"/>
        <rFont val="Calibri"/>
        <family val="1"/>
      </rPr>
      <t>Servicios funerarios y de cementerios</t>
    </r>
  </si>
  <si>
    <r>
      <rPr>
        <sz val="10"/>
        <rFont val="Calibri"/>
        <family val="1"/>
      </rPr>
      <t>Impuestos y derechos</t>
    </r>
  </si>
  <si>
    <r>
      <rPr>
        <sz val="10"/>
        <rFont val="Calibri"/>
        <family val="1"/>
      </rPr>
      <t>Impuestos y derechos de importación</t>
    </r>
  </si>
  <si>
    <r>
      <rPr>
        <sz val="10"/>
        <rFont val="Calibri"/>
        <family val="1"/>
      </rPr>
      <t>Sentencias y resoluciones judiciales</t>
    </r>
  </si>
  <si>
    <r>
      <rPr>
        <sz val="10"/>
        <rFont val="Calibri"/>
        <family val="1"/>
      </rPr>
      <t>Penas, multas, accesorios y actualizaciones</t>
    </r>
  </si>
  <si>
    <r>
      <rPr>
        <sz val="10"/>
        <rFont val="Calibri"/>
        <family val="1"/>
      </rPr>
      <t>Otros gastos por responsabilidades</t>
    </r>
  </si>
  <si>
    <r>
      <rPr>
        <sz val="10"/>
        <rFont val="Calibri"/>
        <family val="1"/>
      </rPr>
      <t>Otros servicios generales</t>
    </r>
  </si>
  <si>
    <r>
      <rPr>
        <sz val="10"/>
        <rFont val="Calibri"/>
        <family val="1"/>
      </rPr>
      <t>Gastos menores</t>
    </r>
  </si>
  <si>
    <r>
      <rPr>
        <sz val="10"/>
        <rFont val="Calibri"/>
        <family val="1"/>
      </rPr>
      <t>Retribuciones a reos</t>
    </r>
  </si>
  <si>
    <r>
      <rPr>
        <sz val="10"/>
        <rFont val="Calibri"/>
        <family val="1"/>
      </rPr>
      <t>Otros servicios de la administración pública</t>
    </r>
  </si>
  <si>
    <r>
      <rPr>
        <sz val="10"/>
        <rFont val="Calibri"/>
        <family val="1"/>
      </rPr>
      <t>Previsión Arrendamientos</t>
    </r>
  </si>
  <si>
    <r>
      <rPr>
        <b/>
        <sz val="12"/>
        <rFont val="Calibri"/>
        <family val="1"/>
      </rPr>
      <t>BIENES MUEBLES, INMUEBLES E INTANGIBLES</t>
    </r>
  </si>
  <si>
    <r>
      <rPr>
        <sz val="10"/>
        <rFont val="Calibri"/>
        <family val="1"/>
      </rPr>
      <t>MOBILIARIO Y EQUIPO DE ADMINISTRACIÓN</t>
    </r>
  </si>
  <si>
    <r>
      <rPr>
        <sz val="10"/>
        <rFont val="Calibri"/>
        <family val="1"/>
      </rPr>
      <t>Muebles de oficina y estantería</t>
    </r>
  </si>
  <si>
    <r>
      <rPr>
        <sz val="10"/>
        <rFont val="Calibri"/>
        <family val="1"/>
      </rPr>
      <t>Mobiliario</t>
    </r>
  </si>
  <si>
    <r>
      <rPr>
        <sz val="10"/>
        <rFont val="Calibri"/>
        <family val="1"/>
      </rPr>
      <t>Muebles, excepto de oficina y estantería</t>
    </r>
  </si>
  <si>
    <r>
      <rPr>
        <sz val="10"/>
        <rFont val="Calibri"/>
        <family val="1"/>
      </rPr>
      <t>Bienes artísticos, culturales y científicos</t>
    </r>
  </si>
  <si>
    <r>
      <rPr>
        <sz val="10"/>
        <rFont val="Calibri"/>
        <family val="1"/>
      </rPr>
      <t>Bienes artísticos y culturales</t>
    </r>
  </si>
  <si>
    <r>
      <rPr>
        <sz val="10"/>
        <rFont val="Calibri"/>
        <family val="1"/>
      </rPr>
      <t>Objetos de valor</t>
    </r>
  </si>
  <si>
    <r>
      <rPr>
        <sz val="10"/>
        <rFont val="Calibri"/>
        <family val="1"/>
      </rPr>
      <t>Equipo de cómputo y de tecnologías de la información</t>
    </r>
  </si>
  <si>
    <r>
      <rPr>
        <sz val="10"/>
        <rFont val="Calibri"/>
        <family val="1"/>
      </rPr>
      <t>Equipo de administración</t>
    </r>
  </si>
  <si>
    <r>
      <rPr>
        <sz val="10"/>
        <rFont val="Calibri"/>
        <family val="1"/>
      </rPr>
      <t>Equipo de Cómputo y Aparatos de Uso Informático</t>
    </r>
  </si>
  <si>
    <r>
      <rPr>
        <sz val="10"/>
        <rFont val="Calibri"/>
        <family val="1"/>
      </rPr>
      <t>Sistemas de Rastreo Satelital (GPS)</t>
    </r>
  </si>
  <si>
    <r>
      <rPr>
        <sz val="10"/>
        <rFont val="Calibri"/>
        <family val="1"/>
      </rPr>
      <t>Otros mobiliarios y equipos de administración</t>
    </r>
  </si>
  <si>
    <r>
      <rPr>
        <sz val="10"/>
        <rFont val="Calibri"/>
        <family val="1"/>
      </rPr>
      <t>Cámaras y Circuitos Cerrados de Seguridad</t>
    </r>
  </si>
  <si>
    <r>
      <rPr>
        <sz val="10"/>
        <rFont val="Calibri"/>
        <family val="1"/>
      </rPr>
      <t>Equipos de Audio</t>
    </r>
  </si>
  <si>
    <r>
      <rPr>
        <sz val="10"/>
        <rFont val="Calibri"/>
        <family val="1"/>
      </rPr>
      <t>Otras Herramientas, Mobiliarios y Eq. De Administración</t>
    </r>
  </si>
  <si>
    <r>
      <rPr>
        <sz val="10"/>
        <rFont val="Calibri"/>
        <family val="1"/>
      </rPr>
      <t>Aulas Móviles de Vigilancia</t>
    </r>
  </si>
  <si>
    <r>
      <rPr>
        <sz val="10"/>
        <rFont val="Calibri"/>
        <family val="1"/>
      </rPr>
      <t>MOBILIARIO Y EQUIPO EDUCACIONAL Y RECREATIVO</t>
    </r>
  </si>
  <si>
    <r>
      <rPr>
        <sz val="10"/>
        <rFont val="Calibri"/>
        <family val="1"/>
      </rPr>
      <t>Equipos y aparatos audiovisuales</t>
    </r>
  </si>
  <si>
    <r>
      <rPr>
        <sz val="10"/>
        <rFont val="Calibri"/>
        <family val="1"/>
      </rPr>
      <t>Equipo educacional y recreativo</t>
    </r>
  </si>
  <si>
    <r>
      <rPr>
        <sz val="10"/>
        <rFont val="Calibri"/>
        <family val="1"/>
      </rPr>
      <t>Aparatos deportivos</t>
    </r>
  </si>
  <si>
    <r>
      <rPr>
        <sz val="10"/>
        <rFont val="Calibri"/>
        <family val="1"/>
      </rPr>
      <t>Cámaras fotográficas y de video</t>
    </r>
  </si>
  <si>
    <r>
      <rPr>
        <sz val="10"/>
        <rFont val="Calibri"/>
        <family val="1"/>
      </rPr>
      <t>Cámaras Fotográficas</t>
    </r>
  </si>
  <si>
    <r>
      <rPr>
        <sz val="10"/>
        <rFont val="Calibri"/>
        <family val="1"/>
      </rPr>
      <t>Cámaras de Video</t>
    </r>
  </si>
  <si>
    <r>
      <rPr>
        <sz val="10"/>
        <rFont val="Calibri"/>
        <family val="1"/>
      </rPr>
      <t>Otro mobiliario y equipo educacional y recreativo</t>
    </r>
  </si>
  <si>
    <r>
      <rPr>
        <sz val="10"/>
        <rFont val="Calibri"/>
        <family val="1"/>
      </rPr>
      <t>Instrumentos Musicales</t>
    </r>
  </si>
  <si>
    <r>
      <rPr>
        <sz val="10"/>
        <rFont val="Calibri"/>
        <family val="1"/>
      </rPr>
      <t>Equipo Educacional</t>
    </r>
  </si>
  <si>
    <r>
      <rPr>
        <sz val="10"/>
        <rFont val="Calibri"/>
        <family val="1"/>
      </rPr>
      <t>EQUIPO E INSTRUMENTAL MÉDICO Y DE LABORATORIO</t>
    </r>
  </si>
  <si>
    <r>
      <rPr>
        <sz val="10"/>
        <rFont val="Calibri"/>
        <family val="1"/>
      </rPr>
      <t>Equipo médico y de laboratorio</t>
    </r>
  </si>
  <si>
    <r>
      <rPr>
        <sz val="10"/>
        <rFont val="Calibri"/>
        <family val="1"/>
      </rPr>
      <t>Equipo e instrumental medico</t>
    </r>
  </si>
  <si>
    <r>
      <rPr>
        <sz val="10"/>
        <rFont val="Calibri"/>
        <family val="1"/>
      </rPr>
      <t>Instrumental médico y de laboratorio</t>
    </r>
  </si>
  <si>
    <r>
      <rPr>
        <sz val="10"/>
        <rFont val="Calibri"/>
        <family val="1"/>
      </rPr>
      <t>VEHÍCULOS Y EQUIPO DE TRANSPORTE</t>
    </r>
  </si>
  <si>
    <r>
      <rPr>
        <sz val="10"/>
        <rFont val="Calibri"/>
        <family val="1"/>
      </rPr>
      <t>Automóviles y camiones</t>
    </r>
  </si>
  <si>
    <r>
      <rPr>
        <sz val="10"/>
        <rFont val="Calibri"/>
        <family val="1"/>
      </rPr>
      <t>Vehículos y equipo terrestre</t>
    </r>
  </si>
  <si>
    <r>
      <rPr>
        <sz val="10"/>
        <rFont val="Calibri"/>
        <family val="1"/>
      </rPr>
      <t>Carrocerías y remolques</t>
    </r>
  </si>
  <si>
    <r>
      <rPr>
        <sz val="10"/>
        <rFont val="Calibri"/>
        <family val="1"/>
      </rPr>
      <t>Equipo aeroespacial</t>
    </r>
  </si>
  <si>
    <r>
      <rPr>
        <sz val="10"/>
        <rFont val="Calibri"/>
        <family val="1"/>
      </rPr>
      <t>Vehículos y equipo de transporte aéreo</t>
    </r>
  </si>
  <si>
    <r>
      <rPr>
        <sz val="10"/>
        <rFont val="Calibri"/>
        <family val="1"/>
      </rPr>
      <t>Equipo ferroviario</t>
    </r>
  </si>
  <si>
    <r>
      <rPr>
        <sz val="10"/>
        <rFont val="Calibri"/>
        <family val="1"/>
      </rPr>
      <t>Embarcaciones</t>
    </r>
  </si>
  <si>
    <r>
      <rPr>
        <sz val="10"/>
        <rFont val="Calibri"/>
        <family val="1"/>
      </rPr>
      <t>Vehículos y equipo marino</t>
    </r>
  </si>
  <si>
    <r>
      <rPr>
        <sz val="10"/>
        <rFont val="Calibri"/>
        <family val="1"/>
      </rPr>
      <t>Otros Equipos de Transporte</t>
    </r>
  </si>
  <si>
    <r>
      <rPr>
        <sz val="10"/>
        <rFont val="Calibri"/>
        <family val="1"/>
      </rPr>
      <t>Otros equipos de transporte</t>
    </r>
  </si>
  <si>
    <r>
      <rPr>
        <sz val="10"/>
        <rFont val="Calibri"/>
        <family val="1"/>
      </rPr>
      <t>EQUIPO DE DEFENSA Y SEGURIDAD</t>
    </r>
  </si>
  <si>
    <r>
      <rPr>
        <sz val="10"/>
        <rFont val="Calibri"/>
        <family val="1"/>
      </rPr>
      <t>Equipo de defensa y seguridad</t>
    </r>
  </si>
  <si>
    <r>
      <rPr>
        <sz val="10"/>
        <rFont val="Calibri"/>
        <family val="1"/>
      </rPr>
      <t>Equipo de defensa y seguridad pública</t>
    </r>
  </si>
  <si>
    <r>
      <rPr>
        <sz val="10"/>
        <rFont val="Calibri"/>
        <family val="1"/>
      </rPr>
      <t>MAQUINARIA, OTROS EQUIPOS Y HERRAMIENTAS</t>
    </r>
  </si>
  <si>
    <r>
      <rPr>
        <sz val="10"/>
        <rFont val="Calibri"/>
        <family val="1"/>
      </rPr>
      <t>Maquinaria y equipo agropecuario</t>
    </r>
  </si>
  <si>
    <r>
      <rPr>
        <sz val="10"/>
        <rFont val="Calibri"/>
        <family val="1"/>
      </rPr>
      <t>Maquinaria y equipo agropecuario, industrial y de construcción</t>
    </r>
  </si>
  <si>
    <r>
      <rPr>
        <sz val="10"/>
        <rFont val="Calibri"/>
        <family val="1"/>
      </rPr>
      <t>Maquinaria y equipo industrial</t>
    </r>
  </si>
  <si>
    <r>
      <rPr>
        <sz val="10"/>
        <rFont val="Calibri"/>
        <family val="1"/>
      </rPr>
      <t>Bombas Industriales</t>
    </r>
  </si>
  <si>
    <r>
      <rPr>
        <sz val="10"/>
        <rFont val="Calibri"/>
        <family val="1"/>
      </rPr>
      <t>Maquinaria y equipo de construcción</t>
    </r>
  </si>
  <si>
    <r>
      <rPr>
        <sz val="10"/>
        <rFont val="Calibri"/>
        <family val="1"/>
      </rPr>
      <t>Sistemas de aire acondicionado, calefacción y de refrigeración industrial y comercial</t>
    </r>
  </si>
  <si>
    <r>
      <rPr>
        <sz val="10"/>
        <rFont val="Calibri"/>
        <family val="1"/>
      </rPr>
      <t>Equipo de comunicación y telecomunicación</t>
    </r>
  </si>
  <si>
    <r>
      <rPr>
        <sz val="10"/>
        <rFont val="Calibri"/>
        <family val="1"/>
      </rPr>
      <t>Maq. y equipo de telecomunicaciones, eléctrica y electrónica</t>
    </r>
  </si>
  <si>
    <r>
      <rPr>
        <sz val="10"/>
        <rFont val="Calibri"/>
        <family val="1"/>
      </rPr>
      <t>Equipos de generación eléctrica, aparatos y accesorios eléctricos</t>
    </r>
  </si>
  <si>
    <r>
      <rPr>
        <sz val="10"/>
        <rFont val="Calibri"/>
        <family val="1"/>
      </rPr>
      <t>Equipos de generación eléctrica</t>
    </r>
  </si>
  <si>
    <r>
      <rPr>
        <sz val="10"/>
        <rFont val="Calibri"/>
        <family val="1"/>
      </rPr>
      <t>Aparatos y Accesorios eléctricos</t>
    </r>
  </si>
  <si>
    <r>
      <rPr>
        <sz val="10"/>
        <rFont val="Calibri"/>
        <family val="1"/>
      </rPr>
      <t>Herramientas y máquinas-herramienta</t>
    </r>
  </si>
  <si>
    <r>
      <rPr>
        <sz val="10"/>
        <rFont val="Calibri"/>
        <family val="1"/>
      </rPr>
      <t>Herramientas y refacciones mayores</t>
    </r>
  </si>
  <si>
    <r>
      <rPr>
        <sz val="10"/>
        <rFont val="Calibri"/>
        <family val="1"/>
      </rPr>
      <t>Otros equipos</t>
    </r>
  </si>
  <si>
    <r>
      <rPr>
        <sz val="10"/>
        <rFont val="Calibri"/>
        <family val="1"/>
      </rPr>
      <t>Maquinaria y equipo diverso</t>
    </r>
  </si>
  <si>
    <r>
      <rPr>
        <sz val="10"/>
        <rFont val="Calibri"/>
        <family val="1"/>
      </rPr>
      <t>ACTIVOS BIOLÓGICOS</t>
    </r>
  </si>
  <si>
    <r>
      <rPr>
        <sz val="10"/>
        <rFont val="Calibri"/>
        <family val="1"/>
      </rPr>
      <t>Bovinos</t>
    </r>
  </si>
  <si>
    <r>
      <rPr>
        <sz val="10"/>
        <rFont val="Calibri"/>
        <family val="1"/>
      </rPr>
      <t>Porcinos</t>
    </r>
  </si>
  <si>
    <r>
      <rPr>
        <sz val="10"/>
        <rFont val="Calibri"/>
        <family val="1"/>
      </rPr>
      <t>Aves</t>
    </r>
  </si>
  <si>
    <r>
      <rPr>
        <sz val="10"/>
        <rFont val="Calibri"/>
        <family val="1"/>
      </rPr>
      <t>Ovinos y caprinos</t>
    </r>
  </si>
  <si>
    <r>
      <rPr>
        <sz val="10"/>
        <rFont val="Calibri"/>
        <family val="1"/>
      </rPr>
      <t>Peces y acuicultura</t>
    </r>
  </si>
  <si>
    <r>
      <rPr>
        <sz val="10"/>
        <rFont val="Calibri"/>
        <family val="1"/>
      </rPr>
      <t>Equinos</t>
    </r>
  </si>
  <si>
    <r>
      <rPr>
        <sz val="10"/>
        <rFont val="Calibri"/>
        <family val="1"/>
      </rPr>
      <t>Especies menores y de zoológico</t>
    </r>
  </si>
  <si>
    <r>
      <rPr>
        <sz val="10"/>
        <rFont val="Calibri"/>
        <family val="1"/>
      </rPr>
      <t>Árboles y plantas</t>
    </r>
  </si>
  <si>
    <r>
      <rPr>
        <sz val="10"/>
        <rFont val="Calibri"/>
        <family val="1"/>
      </rPr>
      <t>Otros activos biológicos</t>
    </r>
  </si>
  <si>
    <r>
      <rPr>
        <sz val="10"/>
        <rFont val="Calibri"/>
        <family val="1"/>
      </rPr>
      <t>BIENES INMUEBLES</t>
    </r>
  </si>
  <si>
    <r>
      <rPr>
        <sz val="10"/>
        <rFont val="Calibri"/>
        <family val="1"/>
      </rPr>
      <t>Terrenos</t>
    </r>
  </si>
  <si>
    <r>
      <rPr>
        <sz val="10"/>
        <rFont val="Calibri"/>
        <family val="1"/>
      </rPr>
      <t>Viviendas</t>
    </r>
  </si>
  <si>
    <r>
      <rPr>
        <sz val="10"/>
        <rFont val="Calibri"/>
        <family val="1"/>
      </rPr>
      <t>Edificios no residenciales</t>
    </r>
  </si>
  <si>
    <r>
      <rPr>
        <sz val="10"/>
        <rFont val="Calibri"/>
        <family val="1"/>
      </rPr>
      <t>Edificios y locales</t>
    </r>
  </si>
  <si>
    <r>
      <rPr>
        <sz val="10"/>
        <rFont val="Calibri"/>
        <family val="1"/>
      </rPr>
      <t>Otros bienes inmuebles</t>
    </r>
  </si>
  <si>
    <r>
      <rPr>
        <sz val="10"/>
        <rFont val="Calibri"/>
        <family val="1"/>
      </rPr>
      <t>Adjudicaciones, expropiaciones e indemnizaciones de inmuebles</t>
    </r>
  </si>
  <si>
    <r>
      <rPr>
        <sz val="10"/>
        <rFont val="Calibri"/>
        <family val="1"/>
      </rPr>
      <t>ACTIVOS INTANGIBLES</t>
    </r>
  </si>
  <si>
    <r>
      <rPr>
        <sz val="10"/>
        <rFont val="Calibri"/>
        <family val="1"/>
      </rPr>
      <t>Software</t>
    </r>
  </si>
  <si>
    <r>
      <rPr>
        <sz val="10"/>
        <rFont val="Calibri"/>
        <family val="1"/>
      </rPr>
      <t>Patentes</t>
    </r>
  </si>
  <si>
    <r>
      <rPr>
        <sz val="10"/>
        <rFont val="Calibri"/>
        <family val="1"/>
      </rPr>
      <t>Marcas</t>
    </r>
  </si>
  <si>
    <r>
      <rPr>
        <sz val="10"/>
        <rFont val="Calibri"/>
        <family val="1"/>
      </rPr>
      <t>Derechos</t>
    </r>
  </si>
  <si>
    <r>
      <rPr>
        <sz val="10"/>
        <rFont val="Calibri"/>
        <family val="1"/>
      </rPr>
      <t>Concesiones</t>
    </r>
  </si>
  <si>
    <r>
      <rPr>
        <sz val="10"/>
        <rFont val="Calibri"/>
        <family val="1"/>
      </rPr>
      <t>Franquicias</t>
    </r>
  </si>
  <si>
    <r>
      <rPr>
        <sz val="10"/>
        <rFont val="Calibri"/>
        <family val="1"/>
      </rPr>
      <t>Licencias informáticas e intelectuales</t>
    </r>
  </si>
  <si>
    <r>
      <rPr>
        <sz val="10"/>
        <rFont val="Calibri"/>
        <family val="1"/>
      </rPr>
      <t>Licencias para programas de antivirus</t>
    </r>
  </si>
  <si>
    <r>
      <rPr>
        <sz val="10"/>
        <rFont val="Calibri"/>
        <family val="1"/>
      </rPr>
      <t>Licencias Microsoft Windows server 2003 edición estándar</t>
    </r>
  </si>
  <si>
    <r>
      <rPr>
        <sz val="10"/>
        <rFont val="Calibri"/>
        <family val="1"/>
      </rPr>
      <t>Licencias industriales, comerciales y otras</t>
    </r>
  </si>
  <si>
    <r>
      <rPr>
        <sz val="10"/>
        <rFont val="Calibri"/>
        <family val="1"/>
      </rPr>
      <t>Otros activos intangibles</t>
    </r>
  </si>
  <si>
    <t xml:space="preserve">TOTAL </t>
  </si>
  <si>
    <t xml:space="preserve">MATERIALES  </t>
  </si>
  <si>
    <t>SERVICIOS</t>
  </si>
  <si>
    <t>BIENES</t>
  </si>
  <si>
    <t>CAPITULOS</t>
  </si>
  <si>
    <t>MATERIALES</t>
  </si>
  <si>
    <t>TRIMESTRE II</t>
  </si>
  <si>
    <t>TRIMESTRE III</t>
  </si>
  <si>
    <t>TRIMESTRE IV</t>
  </si>
  <si>
    <t>TRIMESTRE  I</t>
  </si>
  <si>
    <t>Programa Anual de Adquisiciones Arrendamientos y Servicios Ejercicio 2024</t>
  </si>
  <si>
    <t>P012</t>
  </si>
  <si>
    <t>Oficina del Ejecutivo</t>
  </si>
  <si>
    <t>De Febrero a Diciembre 2024</t>
  </si>
  <si>
    <t>ART. 21 LAASBCS.</t>
  </si>
  <si>
    <t>ART. 53 FRAC. I LAASBCS.</t>
  </si>
  <si>
    <t>De Enero a Diciembre 2024</t>
  </si>
  <si>
    <t>Dirección General  de Eventos de la Jefatura de la Oficina del Ejecutivo.</t>
  </si>
  <si>
    <t xml:space="preserve">Dirección General de Administración </t>
  </si>
  <si>
    <t>Dirección General de Administración de la Jefaura de la Oficina del Ejecutivo</t>
  </si>
  <si>
    <t>Secretaria Privada</t>
  </si>
  <si>
    <t>Dirección de Transparencia y Mejora Regulatoria</t>
  </si>
  <si>
    <t>Coordinación de Asesores</t>
  </si>
  <si>
    <t>Dirección de Relaciones Públicas</t>
  </si>
  <si>
    <t>Dirección de Planeación y Evaluación</t>
  </si>
  <si>
    <t>Dirección del Comité de Planeación para el Desarrollo del Estrado de BCS</t>
  </si>
  <si>
    <t>Dirección General de Comunicación Social</t>
  </si>
  <si>
    <t>P12</t>
  </si>
  <si>
    <t>E001</t>
  </si>
  <si>
    <t>oficina del Secretario General</t>
  </si>
  <si>
    <t>LAASEBCS ART 21</t>
  </si>
  <si>
    <t>unidad de apoyo administrativo e informatico</t>
  </si>
  <si>
    <t>oficina del sub secretario gral de Gno</t>
  </si>
  <si>
    <t>Oficina de Enlace Gubernamental</t>
  </si>
  <si>
    <t>Archivo Gral de Gobierno</t>
  </si>
  <si>
    <t>E013</t>
  </si>
  <si>
    <t>Tribunal de Conciliacion y Arbitraje Para Los Trabajadores del edo</t>
  </si>
  <si>
    <t>N002</t>
  </si>
  <si>
    <t>Subsecretaria de Proteccion Civil</t>
  </si>
  <si>
    <t>Subsecretaria de Enlace Legislativo</t>
  </si>
  <si>
    <t>Oficina del Secretario Gral de Gno</t>
  </si>
  <si>
    <t>LAASEBCS ART 51 Y 53 FRACC. I</t>
  </si>
  <si>
    <t>01 DE FEBRERO 2024</t>
  </si>
  <si>
    <t>Dirección de Enlace Gubernamental</t>
  </si>
  <si>
    <t>01 DE ENERO 2024</t>
  </si>
  <si>
    <t>LAASBCS ART 33</t>
  </si>
  <si>
    <t>Oficina del Sub Secretario Gral de Gno</t>
  </si>
  <si>
    <t>Sub secretaria de Enlace Legislativo</t>
  </si>
  <si>
    <t>1 DE ENERO 2024</t>
  </si>
  <si>
    <t>01 DE FEBERO 2024</t>
  </si>
  <si>
    <t>1 DE FEBERO 2024</t>
  </si>
  <si>
    <t xml:space="preserve">MANTENIMIENTO INMUEBLE </t>
  </si>
  <si>
    <t>01 DE JULIO 2024</t>
  </si>
  <si>
    <t>01 DE ABRIL 2024</t>
  </si>
  <si>
    <t>LAASBCS ART 51 Y 53 FRACC.II</t>
  </si>
  <si>
    <t>MANTENIMIENTO INMUEBLE (A/A)</t>
  </si>
  <si>
    <t>01 DE MAYO 2024</t>
  </si>
  <si>
    <t>MANTENIMIENTO INMUBLE (A/A)</t>
  </si>
  <si>
    <t>SUBSECRETARIA DE PROTEccion Civil</t>
  </si>
  <si>
    <t>LICENCIAS INFORMATICAS</t>
  </si>
  <si>
    <t>01 DE  FEBRERO 2024</t>
  </si>
  <si>
    <t>Equipo de Cómputo y Aparatos de Uso Informático</t>
  </si>
  <si>
    <t>MANTENIMIENTO CONMUTADOR CJP (AVAYA)</t>
  </si>
  <si>
    <t>P010</t>
  </si>
  <si>
    <t>Secretaría Ejecutiva Comisión de Consolidación, Evaluación y Seguimento al Sistema de Justicia Penal para el Estado de BCS</t>
  </si>
  <si>
    <t>LAASEBCS Art.21</t>
  </si>
  <si>
    <t>LAASEBCS Art.51 y Art.53 Fracc. I</t>
  </si>
  <si>
    <t>E036M0021</t>
  </si>
  <si>
    <t>Tesoreria General</t>
  </si>
  <si>
    <t>Oficina del Secretario de Finanzas y Administracion.</t>
  </si>
  <si>
    <t>Coordinacion de Atencion y Seguimiento de Auditoria.</t>
  </si>
  <si>
    <t>Coordinacion de Enlace Administrativo.</t>
  </si>
  <si>
    <t>Oficina del Subsecretario de Finanzas</t>
  </si>
  <si>
    <t>Fondo Social Para el Desarrollo de BCS. ( FOSDEBCS ).</t>
  </si>
  <si>
    <t>Direccion de Ingresos</t>
  </si>
  <si>
    <t>Direccion de Ingresos/Ingreso Local</t>
  </si>
  <si>
    <t>Direccion de Ingresos/Ingreso Foraneo</t>
  </si>
  <si>
    <t>Direccion de Ingresos/Regulacion Vehicular Mpio. La Paz</t>
  </si>
  <si>
    <t>Direccion de Ingresos/Regulacion Vehicular Mpio. Comondu</t>
  </si>
  <si>
    <t>Direccion de Ingresos/Regulacion Vehicular Mpio. Mulege</t>
  </si>
  <si>
    <t>Direccion de Ingresos/Regulacion Vehicular Mpio. Los Cabos</t>
  </si>
  <si>
    <t>Direccion de Ingresos/Regulacion Vehicular Mpio. Loreto</t>
  </si>
  <si>
    <t>Direccion de Auditoria Fiscal.</t>
  </si>
  <si>
    <t>Direccion de Auditoria Fiscal.Revisiones e Inspecciones</t>
  </si>
  <si>
    <t>Direccion de Politica y Control Presupuestario.Coord. De Egresos.</t>
  </si>
  <si>
    <t>Direccion de Politica y Control Presupuestario.Coord. De Politica Presupuestal</t>
  </si>
  <si>
    <t>Direccion de Politica y Control Presupuestario.</t>
  </si>
  <si>
    <t>Unidad de Inversiones.</t>
  </si>
  <si>
    <t>Direccion de Contabilidad</t>
  </si>
  <si>
    <t>Direccion de Vinculacion con Entidades Publicas y Privadas.</t>
  </si>
  <si>
    <t>Direccion de Procuraduria Fiscal</t>
  </si>
  <si>
    <t>Direccion de Informatica</t>
  </si>
  <si>
    <t>Direccion de Informatica. Programa de Sistematizacion</t>
  </si>
  <si>
    <t>Direccion de Fiscalizacion Aduanera</t>
  </si>
  <si>
    <t>Dir. De Ctrl. De Credito y Cobranza Coactivas.</t>
  </si>
  <si>
    <t>E036E0221</t>
  </si>
  <si>
    <t>Dir. Estatal del Registro Civil</t>
  </si>
  <si>
    <t>Dir. Estatal del Registro Civil. Registro Mpio, La Paz</t>
  </si>
  <si>
    <t>Dir. Estatal del Registro Civil. Registro Mpio, Comondu</t>
  </si>
  <si>
    <t>Dir. Estatal del Registro Civil. Registro Mpio, Muluge</t>
  </si>
  <si>
    <t>Dir. Estatal del Registro Civil. Registro Mpio, Los Cabos</t>
  </si>
  <si>
    <t>E036E0211</t>
  </si>
  <si>
    <t>Dir. Gral. Del Reg. Pub. De la Propiedad y del Comercio</t>
  </si>
  <si>
    <t>Dir. Gral. Del Reg. Pub. De la Propiedad y del Comercio. Mpio. La Paz.</t>
  </si>
  <si>
    <t>Dir. Gral. Del Reg. Pub. De la Propiedad y del Comercio. Mpio. Comondu.</t>
  </si>
  <si>
    <t>Dir. Gral. Del Reg. Pub. De la Propiedad y del Comercio. Mpio. Mulege.</t>
  </si>
  <si>
    <t>Dir. Gral. Del Reg. Pub. De la Propiedad y del Comercio. Mpio. Los Cabos.</t>
  </si>
  <si>
    <t>Dir. Gral. Del Reg. Pub. De la Propiedad y del Comercio. Mpio. Loreto.</t>
  </si>
  <si>
    <t>Unidad de Evaluacion del Desempeño</t>
  </si>
  <si>
    <t>E036M0020</t>
  </si>
  <si>
    <t>Oficina del Subsecretario de Finanzas.</t>
  </si>
  <si>
    <t>Direccion de Auditoria Fiscal/Revisiones e Inspecciones</t>
  </si>
  <si>
    <t>Direccion de Politica y Control Presupuestario/Coord. De Egresos.</t>
  </si>
  <si>
    <t>Direccion de Politica y Control Presupuestario/Coord. De Politica Presupuestal</t>
  </si>
  <si>
    <t>Unidad De Inversiones</t>
  </si>
  <si>
    <t>E036M0011</t>
  </si>
  <si>
    <t>Direccion de Informatica/Programa de Sistematizacion</t>
  </si>
  <si>
    <t>Direccion de Fiscalizacion Aduanera/Auditorias, Verificaciones y Resoluciones en Comercio Ext.</t>
  </si>
  <si>
    <t>E036E0222</t>
  </si>
  <si>
    <t>Dir. Estatal del Registro Civil. Registro Mpio, Mulege</t>
  </si>
  <si>
    <t>Dir. Estatal del Registro Civil. Registro Mpio, Loreto</t>
  </si>
  <si>
    <t>E036E0212</t>
  </si>
  <si>
    <t>D011P013</t>
  </si>
  <si>
    <t>OFICINA DEL SECRETARIO</t>
  </si>
  <si>
    <t>Consolidacion</t>
  </si>
  <si>
    <t>LAASEBCS ART. 21</t>
  </si>
  <si>
    <t>LAASBCS ART. 51 Y ART. 53 FACC. II</t>
  </si>
  <si>
    <t>LAASBCS ART 51 Y ART 53 FRACC 1</t>
  </si>
  <si>
    <t>DIRECCION DE ADMON E INFORMATICA</t>
  </si>
  <si>
    <t>D012P013</t>
  </si>
  <si>
    <t>UNIDAD DE MOVILIDAD</t>
  </si>
  <si>
    <t>LAASBCS ART. 51 Y ART. 53 FRACC. II</t>
  </si>
  <si>
    <t>PARTICIPACIONES Ramo 28</t>
  </si>
  <si>
    <t>DIRECCIÓN DE OBRAS PUBLICAS</t>
  </si>
  <si>
    <t>Material de oficina</t>
  </si>
  <si>
    <t>Material y útiles de impresión</t>
  </si>
  <si>
    <t>Material de limpieza</t>
  </si>
  <si>
    <t>Combustibles</t>
  </si>
  <si>
    <t>Arrendamiento de maquinaria y equipo</t>
  </si>
  <si>
    <t>Mantenimiento de mobiliario y equipo</t>
  </si>
  <si>
    <t>Mantto. y conservación de vehículos terrestres, aéreos, marítimos, lacustres y fluviales</t>
  </si>
  <si>
    <t>DIRECCIÓN DE INFRAESTRUCTURA VIAL Y MOVILIDAD URBANA</t>
  </si>
  <si>
    <t xml:space="preserve">LAASBCS ART. 51 Y ART. 53 FRACC. I </t>
  </si>
  <si>
    <t>D033P013</t>
  </si>
  <si>
    <t>DIRECCION DE PATRIMONIO INMOBILIARIO Y REGULARIZACION DE LA TENENCIA DE LA TIERRA</t>
  </si>
  <si>
    <t>Arrendamiento de edificios</t>
  </si>
  <si>
    <t>LAASBCS ART 51 Y ART 53 FRACC I</t>
  </si>
  <si>
    <t>DIRECCION GENERAL DE PLANEACION</t>
  </si>
  <si>
    <t>DIRECION DE ENERGIA ELECTRICA</t>
  </si>
  <si>
    <t>D010P003</t>
  </si>
  <si>
    <t>DIRECCION DE GESTION</t>
  </si>
  <si>
    <t>Pasajes aéreos</t>
  </si>
  <si>
    <t>31 de diciembre de 2023</t>
  </si>
  <si>
    <t>C007P003</t>
  </si>
  <si>
    <t>DIRECCION DE FOMENTO FORESTAL</t>
  </si>
  <si>
    <t>Mantenimiento de inmuebles</t>
  </si>
  <si>
    <t>DIRECCION GENERAL DE MEDIO AMBIENTE  Y RECURSOS NATURALES</t>
  </si>
  <si>
    <t>Arrendamiento de maquinaria y equipo de Administración</t>
  </si>
  <si>
    <t>DIRECCION DE VINCULACION</t>
  </si>
  <si>
    <t>E046</t>
  </si>
  <si>
    <t>Secretaría de Educación Pública</t>
  </si>
  <si>
    <t>LAASBCS Art. 21</t>
  </si>
  <si>
    <t>LAASBCS Art. 33</t>
  </si>
  <si>
    <t>LAASBCS Art. 51 y Art. 53 Fracc. I</t>
  </si>
  <si>
    <t>LAASBCS Art. 51 y Art. 53 Fracc. II</t>
  </si>
  <si>
    <t>E004</t>
  </si>
  <si>
    <t>P0061</t>
  </si>
  <si>
    <t>Oficina de la Secretaria de Turismo y Economia</t>
  </si>
  <si>
    <t>2 de enero de 2024</t>
  </si>
  <si>
    <t>LAASBCS ART 51 y ART 53 FRACC I</t>
  </si>
  <si>
    <t>consolidación</t>
  </si>
  <si>
    <t>Invitación a cuando menos tres</t>
  </si>
  <si>
    <t>LAASBCS ART51 y ART 53 FRACC II</t>
  </si>
  <si>
    <t>K006</t>
  </si>
  <si>
    <t>Dirección de Planeación Turistica</t>
  </si>
  <si>
    <t>P0051</t>
  </si>
  <si>
    <t>Oficina del Subsecretario de Economia</t>
  </si>
  <si>
    <t>G0041</t>
  </si>
  <si>
    <t>Dirección de Regulación de Agentes Inmobiliarios</t>
  </si>
  <si>
    <t>DGAF</t>
  </si>
  <si>
    <t xml:space="preserve"> Consolidación </t>
  </si>
  <si>
    <t xml:space="preserve"> Licitación Pública </t>
  </si>
  <si>
    <t>PEP K9</t>
  </si>
  <si>
    <t>Alimentación de animales</t>
  </si>
  <si>
    <t xml:space="preserve"> Ajudicación Directa </t>
  </si>
  <si>
    <t>DGSP</t>
  </si>
  <si>
    <t>Alimentación de personas</t>
  </si>
  <si>
    <t xml:space="preserve">PEP  </t>
  </si>
  <si>
    <t>DESMA</t>
  </si>
  <si>
    <t>Seguros</t>
  </si>
  <si>
    <t>C4</t>
  </si>
  <si>
    <t>Servicio de seguridad privada</t>
  </si>
  <si>
    <t>Servicios de jardinería y fumigación</t>
  </si>
  <si>
    <t>C028P0071</t>
  </si>
  <si>
    <t>15 de enero 2024</t>
  </si>
  <si>
    <t>15 de marzo 2024</t>
  </si>
  <si>
    <t xml:space="preserve">MATERIAL DIDACTICO </t>
  </si>
  <si>
    <t>30 de enero 2024</t>
  </si>
  <si>
    <t>LAASEBCS ART. 51 Y ART. 53 FRACC. I</t>
  </si>
  <si>
    <t xml:space="preserve">MATERIAL DE LIMPIEZA </t>
  </si>
  <si>
    <t xml:space="preserve">ALIMENTACION DE PERSONAS </t>
  </si>
  <si>
    <t>UTENSILIOS PARA EL SERVICIO DE LA ALIMENTACION</t>
  </si>
  <si>
    <t>15 de febrero 2024</t>
  </si>
  <si>
    <t xml:space="preserve">MATERIAL ELECTRICO </t>
  </si>
  <si>
    <t>15 de febrero  2024</t>
  </si>
  <si>
    <t>MATERIAL Y PRODUCTOS QUIMICOS FARMACEUTICOS</t>
  </si>
  <si>
    <t xml:space="preserve">COMBUSTIBLES </t>
  </si>
  <si>
    <t xml:space="preserve">LUBRICANTES Y ADITIVOS </t>
  </si>
  <si>
    <t xml:space="preserve">ROPA, VESTUARIO Y EQUIPO </t>
  </si>
  <si>
    <t xml:space="preserve">ARTICULOS DEPORTIVOS </t>
  </si>
  <si>
    <t>15 de marzo  2024</t>
  </si>
  <si>
    <t>REFACCIONES Y ACCESORIOS MENORES DE EDIFICIOS( CANDADOS, CERRADURAS, CHAPAS</t>
  </si>
  <si>
    <t xml:space="preserve">REFACCIONES Y ACCESORIOS MENORES DE MOBILIARIO Y EQUIPO DE ADMINISTRACION </t>
  </si>
  <si>
    <t xml:space="preserve">DISPOSITIVOS INTERNOS Y EXTERNOS DE EQUIPO DE COMPUTO </t>
  </si>
  <si>
    <t xml:space="preserve">REFACCIONES Y ACCESORIOS MENORES DE EQUIPO DE COMPUTO </t>
  </si>
  <si>
    <t xml:space="preserve">HERRAMIENTAS, REFACCIONES Y ACCESORIOS </t>
  </si>
  <si>
    <t xml:space="preserve">SERVICIO DE ENERGIA ELECTRICA </t>
  </si>
  <si>
    <t xml:space="preserve">SERVICIO TELEFONICO </t>
  </si>
  <si>
    <t xml:space="preserve">SERVICIO POSTAL Y TELGRAFICO </t>
  </si>
  <si>
    <t xml:space="preserve">ARRENDAMIENTOS DE TERRENOS </t>
  </si>
  <si>
    <t xml:space="preserve">ARRENDAMIENTOS DE EDIFICIOS </t>
  </si>
  <si>
    <t xml:space="preserve">ARRENDAMIENTOS DE MAQUINARIA Y EQUIPO </t>
  </si>
  <si>
    <t xml:space="preserve">ARRENDAMIENTO DE EQUIPO DE TRANSPORTE </t>
  </si>
  <si>
    <t xml:space="preserve">ARRENDAMIENTOS ESPECIALES </t>
  </si>
  <si>
    <t xml:space="preserve">CUOTAS O INSCRIPCIONES </t>
  </si>
  <si>
    <t xml:space="preserve">COMISIONES, DESCUENTOS Y OTROS SERVICIOS BANCARIOS </t>
  </si>
  <si>
    <t>SEGUROS</t>
  </si>
  <si>
    <t xml:space="preserve">FLETES MANIOBRAS Y ALMACENAJE </t>
  </si>
  <si>
    <t xml:space="preserve">MANTENIMIENTO DE INMUEBLES </t>
  </si>
  <si>
    <t xml:space="preserve">MANTEMIENTO DE MOBILIARIO  Y EQUIPO </t>
  </si>
  <si>
    <t xml:space="preserve">GASTOS DE INSTALACION </t>
  </si>
  <si>
    <t xml:space="preserve">MANTEMIIENTO Y CONSERVACION DE VEHICULOS TERRESTRES, AEROS, MARITIMOS </t>
  </si>
  <si>
    <t xml:space="preserve">SERVICIOS DE HIGIENE Y LIMPIEZA </t>
  </si>
  <si>
    <t xml:space="preserve">SERVICIOS DE LIMPIEZA Y LAVADO DE VEHICULOS </t>
  </si>
  <si>
    <t xml:space="preserve">ARBOLES, PLANTAS SEMILLAS Y ABONOS </t>
  </si>
  <si>
    <t xml:space="preserve">IMPRESIONES Y PUBLICACIONES OFICIALES </t>
  </si>
  <si>
    <t xml:space="preserve">ROTULACIONES OFICIALES </t>
  </si>
  <si>
    <t xml:space="preserve">PASAJES AEROS </t>
  </si>
  <si>
    <t xml:space="preserve">VIATICOS </t>
  </si>
  <si>
    <t xml:space="preserve">GASTOS DE RECEPCION, CONMEMORATIVOS Y DE ORDEN SOCIAL </t>
  </si>
  <si>
    <t xml:space="preserve">CONGRESOS Y CONVENCIONES </t>
  </si>
  <si>
    <t>15 de febrero de 2024</t>
  </si>
  <si>
    <t xml:space="preserve">IMPUESTOS Y DERECHOS </t>
  </si>
  <si>
    <t xml:space="preserve">GASTOS MENORES </t>
  </si>
  <si>
    <t>E008</t>
  </si>
  <si>
    <t>Junta Local de Concilación y Arbitraje</t>
  </si>
  <si>
    <t>LAASEBCS Art. 21</t>
  </si>
  <si>
    <t>15 de Febrero 2024</t>
  </si>
  <si>
    <t>LAASSP Art. 31, Fracción III</t>
  </si>
  <si>
    <t>LAASSP Art. 21</t>
  </si>
  <si>
    <t>30 de Abril de 2024</t>
  </si>
  <si>
    <t>LAASSP Art. 31, Fracción II</t>
  </si>
  <si>
    <t>Junta Especial de Concilación CSL</t>
  </si>
  <si>
    <t>29 de Marzo 2024</t>
  </si>
  <si>
    <t>S003</t>
  </si>
  <si>
    <t>Oficina del Subsecretario de Bienestar y Desarrollo Social</t>
  </si>
  <si>
    <t>29 de Febrero 2024</t>
  </si>
  <si>
    <t xml:space="preserve">LAASSP Art. 21, </t>
  </si>
  <si>
    <t>Dirección de Planeación, Evaluación y Desarrollo Regional</t>
  </si>
  <si>
    <t>01 de Abril de 2024</t>
  </si>
  <si>
    <t>Dirección de Desarrollo Comunitario y Participación Social</t>
  </si>
  <si>
    <t>LAASBCS Art.21</t>
  </si>
  <si>
    <t>Dirección de Desarrollo Social y Humano</t>
  </si>
  <si>
    <t xml:space="preserve">LAASBCS Art. 21, </t>
  </si>
  <si>
    <t>14 de Junio 2024</t>
  </si>
  <si>
    <t xml:space="preserve">LAASSP Art. 31, </t>
  </si>
  <si>
    <t>01 de Marzo de 2024</t>
  </si>
  <si>
    <t>E005</t>
  </si>
  <si>
    <t>Oficina del Secretario del Trabajo, Bienestar y Desarrollo Social</t>
  </si>
  <si>
    <t xml:space="preserve">Dirección de Apoyo Advo. E Informatico </t>
  </si>
  <si>
    <t>Dirección Gral. de SNEBCS</t>
  </si>
  <si>
    <t>Dirección de Inspencción Laboral y Segurirdad e Higiene</t>
  </si>
  <si>
    <t>01 de Mayo de 2024</t>
  </si>
  <si>
    <t>Procuraduría de la Defensa del Trabajo</t>
  </si>
  <si>
    <t>Lubricantes y aditivos</t>
  </si>
  <si>
    <t>Herramientas, refacciones y accesorios</t>
  </si>
  <si>
    <t>Servicio de energía eléctrica</t>
  </si>
  <si>
    <t>Servicio de agua potable</t>
  </si>
  <si>
    <t>Servicio telefónico</t>
  </si>
  <si>
    <t>Viáticos</t>
  </si>
  <si>
    <t>Servicio postal y telegráfico</t>
  </si>
  <si>
    <t>Impresiones y publicaciones oficiales</t>
  </si>
  <si>
    <t>Servicios de telecomunicaciones y satélites</t>
  </si>
  <si>
    <t>JEFATURA DE LA OFICINA DEL EJECUTIVO</t>
  </si>
  <si>
    <t>SECRETARIA GENERAL DE GOBIERNO</t>
  </si>
  <si>
    <t>SISTEMA DE JUSTICIA PENAL</t>
  </si>
  <si>
    <t>SUBSECRETARIA DE FINANZAS</t>
  </si>
  <si>
    <t>SECRETARIA DE PLANEACIÓN URBANA, INFRAESTRUCTURA, MOVILIDAD Y RECURSOS NATURALES</t>
  </si>
  <si>
    <t>SECRETARIA DE EDUCACIÓN PÚBLICA</t>
  </si>
  <si>
    <t>SECRETARIA DE TURISMO Y ECONOMIA</t>
  </si>
  <si>
    <t>SECRETARIA DE SEGURIDAD PUBLICA</t>
  </si>
  <si>
    <t>SECRETARIA DEL TRABAJO, BIENESTAR Y DESARROLLO SOCIAL</t>
  </si>
  <si>
    <t>SECRETARIA DE PESCA, ACUACULTURA Y DESARROLLO AGROPECUARIO</t>
  </si>
  <si>
    <t>E036M</t>
  </si>
  <si>
    <t>SUBSECRETARIA DE ADMINISTRACION</t>
  </si>
  <si>
    <t>COORDINACION DE APOYO ADMIVO</t>
  </si>
  <si>
    <t>Área de Apoyo Técnico</t>
  </si>
  <si>
    <t>Coordinación de Mantenimiento y Conservación</t>
  </si>
  <si>
    <t>Unidad de Eventos Especiales</t>
  </si>
  <si>
    <t>Departamento de Personal</t>
  </si>
  <si>
    <t>Departamento de Prestaciones Económicas y Sociales</t>
  </si>
  <si>
    <t>Departamento de Nóminas</t>
  </si>
  <si>
    <t>Departamento de Valoración y Aplicación de la Normativid</t>
  </si>
  <si>
    <t>Dirección General de Recursos Humanos</t>
  </si>
  <si>
    <t>Estancia de Desarrollo Integral Infantil (EDII) Luz Davi</t>
  </si>
  <si>
    <t>Dirección de Servicios Generales e Inventarios</t>
  </si>
  <si>
    <t>Archivo de Secretaría de Finanzas y Administració</t>
  </si>
  <si>
    <t>Talleres Gráficos</t>
  </si>
  <si>
    <t>Talleres Generales de Gobierno</t>
  </si>
  <si>
    <t>Dirección General de Recursos Materiales</t>
  </si>
  <si>
    <t>Dirección General de Servicios Aéreos</t>
  </si>
  <si>
    <t>O002</t>
  </si>
  <si>
    <t>Oficina del Contralor General</t>
  </si>
  <si>
    <t>Inicia desde el mes febrero</t>
  </si>
  <si>
    <t>Dirección Administrativa</t>
  </si>
  <si>
    <t>Dirección Jurídica</t>
  </si>
  <si>
    <t>Dirección de Auditoría Gubernamental</t>
  </si>
  <si>
    <t>Dirección de Anticorrupción</t>
  </si>
  <si>
    <t>Dirección de Seguimiento a Programas Federales</t>
  </si>
  <si>
    <t>Dirección de Control de Obras</t>
  </si>
  <si>
    <t>LAASEBCS ART. 51 Y 53 FRACC. I</t>
  </si>
  <si>
    <t>Inicia desde el mes enero</t>
  </si>
  <si>
    <t>Contraloría General</t>
  </si>
  <si>
    <t>E009, E010, E011, E034, G005, K004 y M003</t>
  </si>
  <si>
    <t>Federal</t>
  </si>
  <si>
    <t>Secretaría de Salud</t>
  </si>
  <si>
    <t>Por definir, según fuente de financiamiento autorizada</t>
  </si>
  <si>
    <t>Fertilizantes, pesticidas y otros agroquímicos</t>
  </si>
  <si>
    <t>Medicinas y productos químicos, farmacéuticos</t>
  </si>
  <si>
    <t>Otros productos químicos</t>
  </si>
  <si>
    <t>Combustibles, lubricantes y aditivos</t>
  </si>
  <si>
    <t>Estatal</t>
  </si>
  <si>
    <t>Ropa, vestuario y equipo</t>
  </si>
  <si>
    <t>Servicio de Gas L.P.</t>
  </si>
  <si>
    <t>Servicios de acceso de Internet, redes y procesamiento de información</t>
  </si>
  <si>
    <t>Servicio de Fotocopiado, Enmicado y Encuadernación de Documentos.</t>
  </si>
  <si>
    <t>Servicios de vigilancia</t>
  </si>
  <si>
    <t>Seguro de bienes patrimoniales</t>
  </si>
  <si>
    <t>Instalación, reparación y mantenimiento de maquinaria, otros equipos y herramienta</t>
  </si>
  <si>
    <t>Servicios de limpieza y manejo de desechos</t>
  </si>
  <si>
    <t>Servicios profesionales, científicos y técnicos integrales</t>
  </si>
  <si>
    <t>Materiales, accesorios y suministros médicos</t>
  </si>
  <si>
    <t>Servicios de traslado y viaticos</t>
  </si>
  <si>
    <t>Impuestos y derechos</t>
  </si>
  <si>
    <t>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</si>
</sst>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  <numFmt numFmtId="165" formatCode="0000"/>
    <numFmt numFmtId="166" formatCode="00000"/>
    <numFmt numFmtId="167" formatCode="[$-580A]d&quot; de &quot;mmmm&quot; de &quot;yyyy;@"/>
    <numFmt numFmtId="168" formatCode="[$-F800]dddd\,\ mmmm\ dd\,\ yyyy"/>
    <numFmt numFmtId="170" formatCode="[$-C0A]d\ &quot;de&quot;\ mmmm\ &quot;de&quot;\ yyyy;@"/>
  </numFmts>
  <fonts count="4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8"/>
      <color theme="1"/>
      <name val="Arial"/>
      <family val="2"/>
    </font>
    <font>
      <sz val="12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</font>
    <font>
      <b/>
      <sz val="11"/>
      <color rgb="FFFFFFFF"/>
      <name val="Calibri"/>
      <family val="1"/>
    </font>
    <font>
      <b/>
      <sz val="11"/>
      <color rgb="FF000000"/>
      <name val="Calibri"/>
      <family val="2"/>
    </font>
    <font>
      <b/>
      <sz val="11"/>
      <name val="Calibri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1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1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2"/>
      <name val="Calibri"/>
      <family val="1"/>
    </font>
    <font>
      <sz val="8"/>
      <color theme="1"/>
      <name val="Arial"/>
      <family val="2"/>
    </font>
    <font>
      <b/>
      <sz val="11"/>
      <color theme="0"/>
      <name val="Calibri"/>
      <family val="2"/>
    </font>
    <font>
      <b/>
      <sz val="18"/>
      <color rgb="FFFF0000"/>
      <name val="Arial"/>
      <family val="2"/>
    </font>
    <font>
      <sz val="7"/>
      <name val="Arial"/>
      <family val="2"/>
    </font>
    <font>
      <sz val="6"/>
      <color theme="1"/>
      <name val="Arial"/>
      <family val="2"/>
    </font>
    <font>
      <sz val="10"/>
      <color theme="1"/>
      <name val="Arial"/>
    </font>
    <font>
      <sz val="6"/>
      <color theme="1"/>
      <name val="Arial"/>
    </font>
    <font>
      <sz val="10"/>
      <name val="Arial"/>
    </font>
    <font>
      <sz val="7"/>
      <name val="Arial"/>
    </font>
    <font>
      <sz val="8"/>
      <name val="Arial"/>
    </font>
    <font>
      <sz val="9"/>
      <color theme="1"/>
      <name val="Arial"/>
      <family val="2"/>
    </font>
    <font>
      <sz val="6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0"/>
      <name val="Calibri"/>
      <family val="2"/>
      <scheme val="minor"/>
    </font>
    <font>
      <sz val="8"/>
      <color theme="1"/>
      <name val="Arial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2F539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808080"/>
      </bottom>
      <diagonal/>
    </border>
    <border>
      <left/>
      <right style="thin">
        <color rgb="FF00000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808080"/>
      </bottom>
      <diagonal/>
    </border>
    <border>
      <left/>
      <right/>
      <top/>
      <bottom style="medium">
        <color theme="1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 applyFill="0" applyProtection="0"/>
    <xf numFmtId="0" fontId="7" fillId="0" borderId="0" applyFill="0" applyProtection="0"/>
    <xf numFmtId="0" fontId="9" fillId="2" borderId="0" applyNumberFormat="0" applyBorder="0" applyAlignment="0" applyProtection="0"/>
  </cellStyleXfs>
  <cellXfs count="151">
    <xf numFmtId="0" fontId="0" fillId="0" borderId="0" xfId="0"/>
    <xf numFmtId="44" fontId="4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4" fontId="4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2" borderId="0" xfId="5" applyAlignment="1">
      <alignment horizontal="center" vertical="center" wrapText="1"/>
    </xf>
    <xf numFmtId="0" fontId="8" fillId="2" borderId="1" xfId="5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9" fillId="0" borderId="16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 indent="4"/>
    </xf>
    <xf numFmtId="1" fontId="18" fillId="0" borderId="17" xfId="0" applyNumberFormat="1" applyFont="1" applyBorder="1" applyAlignment="1">
      <alignment horizontal="right" vertical="top" indent="1" shrinkToFit="1"/>
    </xf>
    <xf numFmtId="0" fontId="19" fillId="0" borderId="17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center" vertical="top" wrapText="1"/>
    </xf>
    <xf numFmtId="1" fontId="18" fillId="0" borderId="16" xfId="0" applyNumberFormat="1" applyFont="1" applyBorder="1" applyAlignment="1">
      <alignment horizontal="right" vertical="top" indent="1" shrinkToFit="1"/>
    </xf>
    <xf numFmtId="0" fontId="19" fillId="0" borderId="16" xfId="0" applyFont="1" applyBorder="1" applyAlignment="1">
      <alignment horizontal="center" vertical="top" wrapText="1"/>
    </xf>
    <xf numFmtId="1" fontId="18" fillId="0" borderId="17" xfId="0" applyNumberFormat="1" applyFont="1" applyBorder="1" applyAlignment="1">
      <alignment horizontal="center" vertical="top" shrinkToFit="1"/>
    </xf>
    <xf numFmtId="0" fontId="19" fillId="0" borderId="17" xfId="0" applyFont="1" applyBorder="1" applyAlignment="1">
      <alignment horizontal="left" vertical="top" wrapText="1" indent="4"/>
    </xf>
    <xf numFmtId="1" fontId="18" fillId="0" borderId="16" xfId="0" applyNumberFormat="1" applyFont="1" applyBorder="1" applyAlignment="1">
      <alignment horizontal="center" vertical="top" shrinkToFit="1"/>
    </xf>
    <xf numFmtId="1" fontId="21" fillId="0" borderId="16" xfId="0" applyNumberFormat="1" applyFont="1" applyBorder="1" applyAlignment="1">
      <alignment horizontal="center" vertical="top" shrinkToFit="1"/>
    </xf>
    <xf numFmtId="0" fontId="22" fillId="0" borderId="16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 indent="4"/>
    </xf>
    <xf numFmtId="0" fontId="11" fillId="4" borderId="0" xfId="0" applyFont="1" applyFill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shrinkToFit="1"/>
    </xf>
    <xf numFmtId="1" fontId="15" fillId="0" borderId="7" xfId="0" applyNumberFormat="1" applyFont="1" applyBorder="1" applyAlignment="1">
      <alignment horizontal="center" vertical="center" shrinkToFit="1"/>
    </xf>
    <xf numFmtId="1" fontId="15" fillId="0" borderId="10" xfId="0" applyNumberFormat="1" applyFont="1" applyBorder="1" applyAlignment="1">
      <alignment horizontal="center" vertical="center" shrinkToFit="1"/>
    </xf>
    <xf numFmtId="1" fontId="13" fillId="0" borderId="7" xfId="0" applyNumberFormat="1" applyFont="1" applyBorder="1" applyAlignment="1">
      <alignment horizontal="center" vertical="center" shrinkToFit="1"/>
    </xf>
    <xf numFmtId="1" fontId="15" fillId="0" borderId="13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 indent="1"/>
    </xf>
    <xf numFmtId="0" fontId="11" fillId="4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4"/>
    </xf>
    <xf numFmtId="0" fontId="12" fillId="4" borderId="2" xfId="0" applyFont="1" applyFill="1" applyBorder="1" applyAlignment="1">
      <alignment horizontal="left" vertical="center" wrapText="1" indent="1"/>
    </xf>
    <xf numFmtId="0" fontId="25" fillId="4" borderId="3" xfId="0" applyFont="1" applyFill="1" applyBorder="1" applyAlignment="1">
      <alignment horizontal="center" vertical="center" wrapText="1"/>
    </xf>
    <xf numFmtId="166" fontId="3" fillId="0" borderId="0" xfId="0" applyNumberFormat="1" applyFont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4" fontId="10" fillId="0" borderId="0" xfId="0" applyNumberFormat="1" applyFont="1" applyAlignment="1" applyProtection="1">
      <alignment horizontal="center" vertical="center" wrapText="1"/>
      <protection locked="0"/>
    </xf>
    <xf numFmtId="44" fontId="4" fillId="0" borderId="0" xfId="0" applyNumberFormat="1" applyFont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4" fontId="31" fillId="0" borderId="0" xfId="0" applyNumberFormat="1" applyFont="1" applyAlignment="1">
      <alignment horizontal="center" vertical="center" wrapText="1"/>
    </xf>
    <xf numFmtId="166" fontId="29" fillId="0" borderId="0" xfId="0" applyNumberFormat="1" applyFont="1" applyAlignment="1" applyProtection="1">
      <alignment horizontal="center" vertical="center" wrapText="1"/>
      <protection locked="0"/>
    </xf>
    <xf numFmtId="165" fontId="29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44" fontId="33" fillId="0" borderId="0" xfId="0" applyNumberFormat="1" applyFont="1" applyAlignment="1" applyProtection="1">
      <alignment horizontal="center" vertical="center" wrapText="1"/>
      <protection locked="0"/>
    </xf>
    <xf numFmtId="44" fontId="31" fillId="0" borderId="0" xfId="0" applyNumberFormat="1" applyFont="1" applyAlignment="1" applyProtection="1">
      <alignment horizontal="center" vertical="center" wrapText="1"/>
      <protection locked="0"/>
    </xf>
    <xf numFmtId="0" fontId="30" fillId="0" borderId="0" xfId="5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4" fontId="24" fillId="0" borderId="0" xfId="0" applyNumberFormat="1" applyFont="1" applyAlignment="1" applyProtection="1">
      <alignment horizontal="center" vertical="center" wrapText="1"/>
      <protection locked="0"/>
    </xf>
    <xf numFmtId="166" fontId="4" fillId="0" borderId="0" xfId="0" applyNumberFormat="1" applyFont="1" applyAlignment="1" applyProtection="1">
      <alignment horizontal="center" vertical="center" wrapText="1"/>
      <protection locked="0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0" fontId="35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vertical="center" wrapText="1"/>
    </xf>
    <xf numFmtId="44" fontId="36" fillId="0" borderId="0" xfId="0" applyNumberFormat="1" applyFont="1" applyAlignment="1" applyProtection="1">
      <alignment horizontal="center" vertical="center" wrapText="1"/>
      <protection locked="0"/>
    </xf>
    <xf numFmtId="8" fontId="10" fillId="0" borderId="0" xfId="0" applyNumberFormat="1" applyFont="1" applyAlignment="1" applyProtection="1">
      <alignment horizontal="center" vertical="center" wrapText="1"/>
      <protection locked="0"/>
    </xf>
    <xf numFmtId="8" fontId="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10" fillId="0" borderId="0" xfId="0" applyNumberFormat="1" applyFont="1" applyAlignment="1">
      <alignment horizontal="center" vertical="center" wrapText="1"/>
    </xf>
    <xf numFmtId="166" fontId="24" fillId="0" borderId="0" xfId="0" applyNumberFormat="1" applyFont="1" applyAlignment="1" applyProtection="1">
      <alignment horizontal="center" vertical="center" wrapText="1"/>
      <protection locked="0"/>
    </xf>
    <xf numFmtId="165" fontId="24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 wrapText="1"/>
    </xf>
    <xf numFmtId="166" fontId="3" fillId="5" borderId="0" xfId="0" applyNumberFormat="1" applyFont="1" applyFill="1" applyAlignment="1" applyProtection="1">
      <alignment horizontal="center" vertical="center" wrapText="1"/>
      <protection locked="0"/>
    </xf>
    <xf numFmtId="165" fontId="3" fillId="5" borderId="0" xfId="0" applyNumberFormat="1" applyFont="1" applyFill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24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27" fillId="5" borderId="0" xfId="0" applyFont="1" applyFill="1" applyAlignment="1">
      <alignment horizontal="center" vertical="center" wrapText="1"/>
    </xf>
    <xf numFmtId="44" fontId="10" fillId="5" borderId="0" xfId="0" applyNumberFormat="1" applyFont="1" applyFill="1" applyAlignment="1" applyProtection="1">
      <alignment horizontal="center" vertical="center" wrapText="1"/>
      <protection locked="0"/>
    </xf>
    <xf numFmtId="44" fontId="4" fillId="5" borderId="0" xfId="0" applyNumberFormat="1" applyFont="1" applyFill="1" applyAlignment="1">
      <alignment horizontal="center" vertical="center" wrapText="1"/>
    </xf>
    <xf numFmtId="0" fontId="38" fillId="2" borderId="0" xfId="5" applyFont="1" applyAlignment="1">
      <alignment horizontal="center" vertical="center" wrapText="1"/>
    </xf>
    <xf numFmtId="167" fontId="10" fillId="0" borderId="0" xfId="0" applyNumberFormat="1" applyFont="1" applyAlignment="1" applyProtection="1">
      <alignment horizontal="center" vertical="center" wrapText="1"/>
      <protection locked="0"/>
    </xf>
    <xf numFmtId="15" fontId="10" fillId="0" borderId="0" xfId="0" applyNumberFormat="1" applyFont="1" applyAlignment="1" applyProtection="1">
      <alignment horizontal="center" vertical="center" wrapText="1"/>
      <protection locked="0"/>
    </xf>
    <xf numFmtId="44" fontId="10" fillId="0" borderId="0" xfId="5" applyNumberFormat="1" applyFont="1" applyFill="1" applyAlignment="1" applyProtection="1">
      <alignment horizontal="center" vertical="center" wrapText="1"/>
      <protection locked="0"/>
    </xf>
    <xf numFmtId="0" fontId="10" fillId="0" borderId="0" xfId="5" applyNumberFormat="1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 vertical="center" wrapText="1"/>
    </xf>
    <xf numFmtId="167" fontId="10" fillId="5" borderId="0" xfId="0" applyNumberFormat="1" applyFont="1" applyFill="1" applyAlignment="1" applyProtection="1">
      <alignment horizontal="center" vertical="center" wrapText="1"/>
      <protection locked="0"/>
    </xf>
    <xf numFmtId="0" fontId="10" fillId="5" borderId="0" xfId="0" applyFont="1" applyFill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8" fillId="2" borderId="18" xfId="5" applyFont="1" applyBorder="1" applyAlignment="1">
      <alignment horizontal="center" vertical="center" wrapText="1"/>
    </xf>
    <xf numFmtId="0" fontId="40" fillId="2" borderId="18" xfId="5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28" fillId="0" borderId="0" xfId="0" applyFont="1" applyAlignment="1">
      <alignment wrapText="1"/>
    </xf>
    <xf numFmtId="0" fontId="24" fillId="0" borderId="0" xfId="0" applyFont="1" applyAlignment="1" applyProtection="1">
      <alignment wrapText="1"/>
      <protection locked="0"/>
    </xf>
    <xf numFmtId="44" fontId="36" fillId="0" borderId="0" xfId="0" applyNumberFormat="1" applyFont="1" applyAlignment="1">
      <alignment horizontal="center" vertical="center" wrapText="1"/>
    </xf>
    <xf numFmtId="44" fontId="39" fillId="0" borderId="0" xfId="0" applyNumberFormat="1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center" vertical="center" wrapText="1"/>
    </xf>
    <xf numFmtId="168" fontId="35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0" xfId="0" applyFont="1"/>
    <xf numFmtId="44" fontId="43" fillId="0" borderId="0" xfId="0" applyNumberFormat="1" applyFont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16" fillId="0" borderId="7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166" fontId="44" fillId="3" borderId="0" xfId="0" applyNumberFormat="1" applyFont="1" applyFill="1" applyAlignment="1">
      <alignment horizontal="center" vertical="center" wrapText="1"/>
    </xf>
    <xf numFmtId="165" fontId="44" fillId="3" borderId="0" xfId="0" applyNumberFormat="1" applyFont="1" applyFill="1" applyAlignment="1">
      <alignment horizontal="center" vertical="center" wrapText="1"/>
    </xf>
    <xf numFmtId="0" fontId="44" fillId="3" borderId="0" xfId="0" applyFont="1" applyFill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44" fontId="45" fillId="3" borderId="0" xfId="0" applyNumberFormat="1" applyFont="1" applyFill="1" applyAlignment="1">
      <alignment horizontal="center" vertical="center" wrapText="1"/>
    </xf>
    <xf numFmtId="170" fontId="45" fillId="3" borderId="0" xfId="0" applyNumberFormat="1" applyFont="1" applyFill="1" applyAlignment="1">
      <alignment horizontal="center" vertical="center" wrapText="1"/>
    </xf>
    <xf numFmtId="166" fontId="44" fillId="0" borderId="0" xfId="0" applyNumberFormat="1" applyFont="1" applyAlignment="1">
      <alignment horizontal="center" vertical="center" wrapText="1"/>
    </xf>
    <xf numFmtId="165" fontId="44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44" fontId="45" fillId="0" borderId="0" xfId="0" applyNumberFormat="1" applyFont="1" applyAlignment="1">
      <alignment horizontal="center" vertical="center" wrapText="1"/>
    </xf>
    <xf numFmtId="170" fontId="45" fillId="0" borderId="0" xfId="0" applyNumberFormat="1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5" fillId="5" borderId="0" xfId="0" applyFont="1" applyFill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165" fontId="44" fillId="0" borderId="19" xfId="0" applyNumberFormat="1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44" fontId="45" fillId="0" borderId="19" xfId="0" applyNumberFormat="1" applyFont="1" applyBorder="1" applyAlignment="1">
      <alignment horizontal="center" vertical="center" wrapText="1"/>
    </xf>
    <xf numFmtId="170" fontId="45" fillId="0" borderId="19" xfId="0" applyNumberFormat="1" applyFont="1" applyBorder="1" applyAlignment="1">
      <alignment horizontal="center" vertical="center" wrapText="1"/>
    </xf>
  </cellXfs>
  <cellStyles count="6">
    <cellStyle name="Énfasis2" xfId="5" builtinId="33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</cellStyles>
  <dxfs count="396">
    <dxf>
      <alignment horizontal="center" vertical="center" textRotation="0" wrapText="1" indent="0" justifyLastLine="0" shrinkToFit="0" readingOrder="0"/>
    </dxf>
    <dxf>
      <border outline="0"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family val="2"/>
        <scheme val="none"/>
      </font>
      <numFmt numFmtId="168" formatCode="[$-F800]dddd\,\ mmmm\ dd\,\ yyyy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family val="2"/>
        <scheme val="none"/>
      </font>
      <numFmt numFmtId="168" formatCode="[$-F800]dddd\,\ mmmm\ dd\,\ yyyy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2" formatCode="&quot;$&quot;#,##0.00;[Red]\-&quot;$&quot;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2" formatCode="&quot;$&quot;#,##0.00;[Red]\-&quot;$&quot;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2" formatCode="&quot;$&quot;#,##0.00;[Red]\-&quot;$&quot;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2" formatCode="&quot;$&quot;#,##0.00;[Red]\-&quot;$&quot;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2" formatCode="&quot;$&quot;#,##0.00;[Red]\-&quot;$&quot;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2" formatCode="&quot;$&quot;#,##0.00;[Red]\-&quot;$&quot;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2" formatCode="&quot;$&quot;#,##0.00;[Red]\-&quot;$&quot;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2" formatCode="&quot;$&quot;#,##0.00;[Red]\-&quot;$&quot;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2" formatCode="&quot;$&quot;#,##0.00;[Red]\-&quot;$&quot;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2" formatCode="&quot;$&quot;#,##0.00;[Red]\-&quot;$&quot;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alignment textRotation="0" wrapText="1" indent="0" justifyLastLine="0" shrinkToFit="0" readingOrder="0"/>
    </dxf>
    <dxf>
      <border outline="0">
        <top style="medium">
          <color theme="1"/>
        </top>
      </border>
    </dxf>
    <dxf>
      <alignment textRotation="0" wrapText="1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[$-580A]d&quot; de &quot;mmmm&quot; de &quot;yy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20" formatCode="dd\-mmm\-yy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20" formatCode="dd\-mmm\-yy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0000"/>
      <alignment horizontal="center" vertical="center" textRotation="0" wrapText="1" indent="0" justifyLastLine="0" shrinkToFit="0" readingOrder="0"/>
      <protection locked="0" hidden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4" formatCode="_-&quot;$&quot;* #,##0.00_-;\-&quot;$&quot;* #,##0.00_-;_-&quot;$&quot;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263663</xdr:colOff>
      <xdr:row>0</xdr:row>
      <xdr:rowOff>11964</xdr:rowOff>
    </xdr:from>
    <xdr:to>
      <xdr:col>3</xdr:col>
      <xdr:colOff>772767</xdr:colOff>
      <xdr:row>2</xdr:row>
      <xdr:rowOff>160636</xdr:rowOff>
    </xdr:to>
    <xdr:pic>
      <xdr:nvPicPr>
        <xdr:cNvPr id="4" name="Imagen 3" descr="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746" y="1197297"/>
          <a:ext cx="2382354" cy="74133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41413</xdr:colOff>
      <xdr:row>150</xdr:row>
      <xdr:rowOff>33131</xdr:rowOff>
    </xdr:from>
    <xdr:ext cx="2379179" cy="739222"/>
    <xdr:pic>
      <xdr:nvPicPr>
        <xdr:cNvPr id="2" name="Imagen 1" descr=" ">
          <a:extLst>
            <a:ext uri="{FF2B5EF4-FFF2-40B4-BE49-F238E27FC236}">
              <a16:creationId xmlns:a16="http://schemas.microsoft.com/office/drawing/2014/main" id="{5496796A-5A13-49F4-A00D-A0B6207378E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33131"/>
          <a:ext cx="2379179" cy="73922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41413</xdr:colOff>
      <xdr:row>233</xdr:row>
      <xdr:rowOff>33131</xdr:rowOff>
    </xdr:from>
    <xdr:ext cx="2379179" cy="739222"/>
    <xdr:pic>
      <xdr:nvPicPr>
        <xdr:cNvPr id="3" name="Imagen 2" descr=" ">
          <a:extLst>
            <a:ext uri="{FF2B5EF4-FFF2-40B4-BE49-F238E27FC236}">
              <a16:creationId xmlns:a16="http://schemas.microsoft.com/office/drawing/2014/main" id="{0B9B4798-9152-482B-8ABA-50CB94855F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33131"/>
          <a:ext cx="2379179" cy="73922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41413</xdr:colOff>
      <xdr:row>259</xdr:row>
      <xdr:rowOff>33131</xdr:rowOff>
    </xdr:from>
    <xdr:ext cx="2379179" cy="739222"/>
    <xdr:pic>
      <xdr:nvPicPr>
        <xdr:cNvPr id="5" name="Imagen 4" descr=" ">
          <a:extLst>
            <a:ext uri="{FF2B5EF4-FFF2-40B4-BE49-F238E27FC236}">
              <a16:creationId xmlns:a16="http://schemas.microsoft.com/office/drawing/2014/main" id="{3E82D995-7045-4B32-BB25-0ED126CCCE6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33131"/>
          <a:ext cx="2379179" cy="73922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30830</xdr:colOff>
      <xdr:row>929</xdr:row>
      <xdr:rowOff>181298</xdr:rowOff>
    </xdr:from>
    <xdr:ext cx="2382354" cy="741339"/>
    <xdr:pic>
      <xdr:nvPicPr>
        <xdr:cNvPr id="6" name="Imagen 5" descr=" ">
          <a:extLst>
            <a:ext uri="{FF2B5EF4-FFF2-40B4-BE49-F238E27FC236}">
              <a16:creationId xmlns:a16="http://schemas.microsoft.com/office/drawing/2014/main" id="{61148F17-27BF-4A5D-9045-61C4B2F5D4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304917798"/>
          <a:ext cx="2382354" cy="74133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41413</xdr:colOff>
      <xdr:row>1013</xdr:row>
      <xdr:rowOff>33131</xdr:rowOff>
    </xdr:from>
    <xdr:ext cx="2382354" cy="741339"/>
    <xdr:pic>
      <xdr:nvPicPr>
        <xdr:cNvPr id="8" name="Imagen 7" descr=" ">
          <a:extLst>
            <a:ext uri="{FF2B5EF4-FFF2-40B4-BE49-F238E27FC236}">
              <a16:creationId xmlns:a16="http://schemas.microsoft.com/office/drawing/2014/main" id="{EE37A3CD-5CA1-43FB-89C4-B948272A5E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96" y="279708298"/>
          <a:ext cx="2382354" cy="74133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41413</xdr:colOff>
      <xdr:row>1048</xdr:row>
      <xdr:rowOff>33131</xdr:rowOff>
    </xdr:from>
    <xdr:ext cx="2382354" cy="741339"/>
    <xdr:pic>
      <xdr:nvPicPr>
        <xdr:cNvPr id="10" name="Imagen 9" descr=" ">
          <a:extLst>
            <a:ext uri="{FF2B5EF4-FFF2-40B4-BE49-F238E27FC236}">
              <a16:creationId xmlns:a16="http://schemas.microsoft.com/office/drawing/2014/main" id="{7828EF7D-8751-4062-869B-1A0DB708A4B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96" y="311542964"/>
          <a:ext cx="2382354" cy="74133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41413</xdr:colOff>
      <xdr:row>1168</xdr:row>
      <xdr:rowOff>33131</xdr:rowOff>
    </xdr:from>
    <xdr:ext cx="2382354" cy="741339"/>
    <xdr:pic>
      <xdr:nvPicPr>
        <xdr:cNvPr id="13" name="Imagen 12" descr=" ">
          <a:extLst>
            <a:ext uri="{FF2B5EF4-FFF2-40B4-BE49-F238E27FC236}">
              <a16:creationId xmlns:a16="http://schemas.microsoft.com/office/drawing/2014/main" id="{8F29D0EE-6332-4BC6-8C85-8ECFC189D6A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96" y="323364548"/>
          <a:ext cx="2382354" cy="74133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41413</xdr:colOff>
      <xdr:row>1334</xdr:row>
      <xdr:rowOff>33131</xdr:rowOff>
    </xdr:from>
    <xdr:ext cx="2382354" cy="741339"/>
    <xdr:pic>
      <xdr:nvPicPr>
        <xdr:cNvPr id="14" name="Imagen 13" descr=" ">
          <a:extLst>
            <a:ext uri="{FF2B5EF4-FFF2-40B4-BE49-F238E27FC236}">
              <a16:creationId xmlns:a16="http://schemas.microsoft.com/office/drawing/2014/main" id="{94DCC28C-41ED-4904-8A8A-72E9B51F6E1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96" y="358247214"/>
          <a:ext cx="2382354" cy="74133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41413</xdr:colOff>
      <xdr:row>1384</xdr:row>
      <xdr:rowOff>33131</xdr:rowOff>
    </xdr:from>
    <xdr:ext cx="2382354" cy="741339"/>
    <xdr:pic>
      <xdr:nvPicPr>
        <xdr:cNvPr id="15" name="Imagen 14" descr=" ">
          <a:extLst>
            <a:ext uri="{FF2B5EF4-FFF2-40B4-BE49-F238E27FC236}">
              <a16:creationId xmlns:a16="http://schemas.microsoft.com/office/drawing/2014/main" id="{0AF567FB-5806-4048-9C12-C8579A15D7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96" y="363062631"/>
          <a:ext cx="2382354" cy="7413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165766</xdr:colOff>
      <xdr:row>874</xdr:row>
      <xdr:rowOff>137582</xdr:rowOff>
    </xdr:from>
    <xdr:to>
      <xdr:col>3</xdr:col>
      <xdr:colOff>613834</xdr:colOff>
      <xdr:row>876</xdr:row>
      <xdr:rowOff>222249</xdr:rowOff>
    </xdr:to>
    <xdr:pic>
      <xdr:nvPicPr>
        <xdr:cNvPr id="7" name="Imagen 6" descr=" ">
          <a:extLst>
            <a:ext uri="{FF2B5EF4-FFF2-40B4-BE49-F238E27FC236}">
              <a16:creationId xmlns:a16="http://schemas.microsoft.com/office/drawing/2014/main" id="{0F51DF12-7C4F-4C07-9B64-06E267B3E52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849" y="279812749"/>
          <a:ext cx="2321318" cy="61383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74083</xdr:colOff>
      <xdr:row>1190</xdr:row>
      <xdr:rowOff>31750</xdr:rowOff>
    </xdr:from>
    <xdr:ext cx="2382354" cy="741339"/>
    <xdr:pic>
      <xdr:nvPicPr>
        <xdr:cNvPr id="9" name="Imagen 8" descr=" ">
          <a:extLst>
            <a:ext uri="{FF2B5EF4-FFF2-40B4-BE49-F238E27FC236}">
              <a16:creationId xmlns:a16="http://schemas.microsoft.com/office/drawing/2014/main" id="{F8F4C10D-771C-45C5-A571-6DBD35EF1C6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6" y="394684250"/>
          <a:ext cx="2382354" cy="74133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41413</xdr:colOff>
      <xdr:row>1509</xdr:row>
      <xdr:rowOff>33131</xdr:rowOff>
    </xdr:from>
    <xdr:ext cx="2382354" cy="741339"/>
    <xdr:pic>
      <xdr:nvPicPr>
        <xdr:cNvPr id="11" name="Imagen 10" descr=" ">
          <a:extLst>
            <a:ext uri="{FF2B5EF4-FFF2-40B4-BE49-F238E27FC236}">
              <a16:creationId xmlns:a16="http://schemas.microsoft.com/office/drawing/2014/main" id="{6D284D59-C7F5-45B8-BCD4-EACA4B85743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96" y="454354464"/>
          <a:ext cx="2382354" cy="7413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ublico\ALONDRA%20AM&#201;ZQUITA%20A\PAAS%202024\SF\CAPITULO%203000%20FORMATO%20PAAAS%202024-1.xlsx" TargetMode="External"/><Relationship Id="rId1" Type="http://schemas.openxmlformats.org/officeDocument/2006/relationships/externalLinkPath" Target="/Publico/ALONDRA%20AM&#201;ZQUITA%20A/PAAS%202024/SF/CAPITULO%203000%20FORMATO%20PAAAS%202024-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ublico\ALONDRA%20AM&#201;ZQUITA%20A\PAAS%202024\PAAS%202024\CONTRALORIA%20GENERAL\PAAS%202024%20CG%20%20PROGRAMADO.XLSX" TargetMode="External"/><Relationship Id="rId1" Type="http://schemas.openxmlformats.org/officeDocument/2006/relationships/externalLinkPath" Target="/Publico/ALONDRA%20AM&#201;ZQUITA%20A/PAAS%202024/PAAS%202024/CONTRALORIA%20GENERAL/PAAS%202024%20CG%20%20PROGRAMADO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ublico\ALONDRA%20AM&#201;ZQUITA%20A\PAAS%202024\SEPADA\SEPADA%20FORMATO%20PAAS%2017%20ENE%202024%20FINAL.xlsx" TargetMode="External"/><Relationship Id="rId1" Type="http://schemas.openxmlformats.org/officeDocument/2006/relationships/externalLinkPath" Target="/Publico/ALONDRA%20AM&#201;ZQUITA%20A/PAAS%202024/SEPADA/SEPADA%20FORMATO%20PAAS%2017%20ENE%202024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%20PRESUPUESTAL\ARCHIVOS%20DE%20TRABAJO\2021\oficios%20RCL%202021\SGG-%20Programa%20Anual%20de%20Adquisiciones%202022\220104%20FORMATO%20PAAS%202022-%20AREAS%20DE%20LA%20SECRETARIA%20GRAL%20DE%20GNO%20(SGG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ublico\ALONDRA%20AM&#201;ZQUITA%20A\PAAS%202024\SJP\240118%20FORMATO%20PAAAS%202024.xlsx" TargetMode="External"/><Relationship Id="rId1" Type="http://schemas.openxmlformats.org/officeDocument/2006/relationships/externalLinkPath" Target="/Publico/ALONDRA%20AM&#201;ZQUITA%20A/PAAS%202024/SJP/240118%20FORMATO%20PAAAS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ublico\ALONDRA%20AM&#201;ZQUITA%20A\PAAS%202024\SF\CAPITULO%202000%20FORMATO%20PAAAS%202024.xlsx" TargetMode="External"/><Relationship Id="rId1" Type="http://schemas.openxmlformats.org/officeDocument/2006/relationships/externalLinkPath" Target="/Publico/ALONDRA%20AM&#201;ZQUITA%20A/PAAS%202024/SF/CAPITULO%202000%20FORMATO%20PAAAS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ublico\ALONDRA%20AM&#201;ZQUITA%20A\PAAS%202024\PAAS%202024\SUB%20ADM\SUB%20ADM%20PAAAS%202024.xlsx" TargetMode="External"/><Relationship Id="rId1" Type="http://schemas.openxmlformats.org/officeDocument/2006/relationships/externalLinkPath" Target="/Publico/ALONDRA%20AM&#201;ZQUITA%20A/PAAS%202024/PAAS%202024/SUB%20ADM/SUB%20ADM%20PAAAS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PUIM\Desktop\PROGRAMA%20ANUAL%20DE%20ADQUISICIONES,%20ARRENDAMIENTOS%20Y%20SERVICIOS%202022\0701%20OF%20SRIO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ublico\ALONDRA%20AM&#201;ZQUITA%20A\PAAS%202024\SEP\PAAS%202024\Recurso%20FONE%20&amp;%20Estatal\FORMATO%20PAAS%202024%20-%20ESTATAL.xlsx" TargetMode="External"/><Relationship Id="rId1" Type="http://schemas.openxmlformats.org/officeDocument/2006/relationships/externalLinkPath" Target="/Publico/ALONDRA%20AM&#201;ZQUITA%20A/PAAS%202024/SEP/PAAS%202024/Recurso%20FONE%20&amp;%20Estatal/FORMATO%20PAAS%202024%20-%20ESTATAL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ublico\ALONDRA%20AM&#201;ZQUITA%20A\PAAS%202024\SEP\PAAS%202024\Recurso%20FONE%20&amp;%20Estatal\FORMATO%20PAAS%202024%20-%20FONE.xlsx" TargetMode="External"/><Relationship Id="rId1" Type="http://schemas.openxmlformats.org/officeDocument/2006/relationships/externalLinkPath" Target="/Publico/ALONDRA%20AM&#201;ZQUITA%20A/PAAS%202024/SEP/PAAS%202024/Recurso%20FONE%20&amp;%20Estatal/FORMATO%20PAAS%202024%20-%20FONE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ublico\ALONDRA%20AM&#201;ZQUITA%20A\PAAS%202024\SETUE\SETUES%20PAAS%202024.xlsx" TargetMode="External"/><Relationship Id="rId1" Type="http://schemas.openxmlformats.org/officeDocument/2006/relationships/externalLinkPath" Target="/Publico/ALONDRA%20AM&#201;ZQUITA%20A/PAAS%202024/SETUE/SETUES%20PAA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AS"/>
      <sheetName val="PAAS CAPITULO 3000"/>
      <sheetName val="CAPITULO"/>
      <sheetName val="PARTIDA"/>
      <sheetName val="COG"/>
      <sheetName val="FF"/>
      <sheetName val="PROCED"/>
    </sheetNames>
    <sheetDataSet>
      <sheetData sheetId="0"/>
      <sheetData sheetId="1"/>
      <sheetData sheetId="2"/>
      <sheetData sheetId="3"/>
      <sheetData sheetId="4">
        <row r="1">
          <cell r="A1" t="str">
            <v>CUENTA</v>
          </cell>
          <cell r="B1" t="str">
            <v>CONCEPTO</v>
          </cell>
          <cell r="C1" t="str">
            <v>AFECTABLE/ NO
AFECTABLE</v>
          </cell>
        </row>
        <row r="2">
          <cell r="A2">
            <v>210000</v>
          </cell>
          <cell r="B2" t="str">
            <v>MATERIALES DE ADMINISTRACIÓN, EMISIÓN DE DOCUMENTOS Y ARTÍCULO OFICIALES</v>
          </cell>
          <cell r="C2" t="str">
            <v>N</v>
          </cell>
        </row>
        <row r="3">
          <cell r="A3">
            <v>211000</v>
          </cell>
          <cell r="B3" t="str">
            <v>Materiales, útiles y equipos menores de oficina</v>
          </cell>
          <cell r="C3" t="str">
            <v>N</v>
          </cell>
        </row>
        <row r="4">
          <cell r="A4">
            <v>211001</v>
          </cell>
          <cell r="B4" t="str">
            <v>Material de oficina</v>
          </cell>
          <cell r="C4" t="str">
            <v>S</v>
          </cell>
        </row>
        <row r="5">
          <cell r="A5">
            <v>212000</v>
          </cell>
          <cell r="B5" t="str">
            <v>Materiales y útiles de impresión y reproducción</v>
          </cell>
          <cell r="C5" t="str">
            <v>N</v>
          </cell>
        </row>
        <row r="6">
          <cell r="A6">
            <v>212001</v>
          </cell>
          <cell r="B6" t="str">
            <v>Material y útiles de impresión</v>
          </cell>
          <cell r="C6" t="str">
            <v>S</v>
          </cell>
        </row>
        <row r="7">
          <cell r="A7">
            <v>213000</v>
          </cell>
          <cell r="B7" t="str">
            <v>Material estadístico y geográfico</v>
          </cell>
          <cell r="C7" t="str">
            <v>N</v>
          </cell>
        </row>
        <row r="8">
          <cell r="A8">
            <v>213001</v>
          </cell>
          <cell r="B8" t="str">
            <v>Material estadístico y geográfico</v>
          </cell>
          <cell r="C8" t="str">
            <v>S</v>
          </cell>
        </row>
        <row r="9">
          <cell r="A9">
            <v>214000</v>
          </cell>
          <cell r="B9" t="str">
            <v>Materiales, útiles y equipos menores de tecnologías de la información y comunicaciones</v>
          </cell>
          <cell r="C9" t="str">
            <v>N</v>
          </cell>
        </row>
        <row r="10">
          <cell r="A10">
            <v>214001</v>
          </cell>
          <cell r="B10" t="str">
            <v>Materiales, útiles y equipos menores de tecnologías de la información y comunicaciones</v>
          </cell>
          <cell r="C10" t="str">
            <v>S</v>
          </cell>
        </row>
        <row r="11">
          <cell r="A11">
            <v>215000</v>
          </cell>
          <cell r="B11" t="str">
            <v>Material impreso e información digital</v>
          </cell>
          <cell r="C11" t="str">
            <v>N</v>
          </cell>
        </row>
        <row r="12">
          <cell r="A12">
            <v>215001</v>
          </cell>
          <cell r="B12" t="str">
            <v>Material didáctico</v>
          </cell>
          <cell r="C12" t="str">
            <v>S</v>
          </cell>
        </row>
        <row r="13">
          <cell r="A13">
            <v>215002</v>
          </cell>
          <cell r="B13" t="str">
            <v>Suscripciones a Periódicos, Revistas y Publicaciones Especializadas</v>
          </cell>
          <cell r="C13" t="str">
            <v>S</v>
          </cell>
        </row>
        <row r="14">
          <cell r="A14">
            <v>215003</v>
          </cell>
          <cell r="B14" t="str">
            <v>Material impreso e información digital</v>
          </cell>
          <cell r="C14" t="str">
            <v>S</v>
          </cell>
        </row>
        <row r="15">
          <cell r="A15">
            <v>216000</v>
          </cell>
          <cell r="B15" t="str">
            <v>Material de limpieza</v>
          </cell>
          <cell r="C15" t="str">
            <v>N</v>
          </cell>
        </row>
        <row r="16">
          <cell r="A16">
            <v>216001</v>
          </cell>
          <cell r="B16" t="str">
            <v>Material de limpieza</v>
          </cell>
          <cell r="C16" t="str">
            <v>S</v>
          </cell>
        </row>
        <row r="17">
          <cell r="A17">
            <v>217000</v>
          </cell>
          <cell r="B17" t="str">
            <v>Materiales y útiles de enseñanza</v>
          </cell>
          <cell r="C17" t="str">
            <v>N</v>
          </cell>
        </row>
        <row r="18">
          <cell r="A18">
            <v>217001</v>
          </cell>
          <cell r="B18" t="str">
            <v>Materiales y útiles de enseñanza</v>
          </cell>
          <cell r="C18" t="str">
            <v>S</v>
          </cell>
        </row>
        <row r="19">
          <cell r="A19">
            <v>218000</v>
          </cell>
          <cell r="B19" t="str">
            <v>Materiales para el registro e identificación de bienes y personas</v>
          </cell>
          <cell r="C19" t="str">
            <v>N</v>
          </cell>
        </row>
        <row r="20">
          <cell r="A20">
            <v>218001</v>
          </cell>
          <cell r="B20" t="str">
            <v>Materiales para el registro e identificación de bienes y personas</v>
          </cell>
          <cell r="C20" t="str">
            <v>S</v>
          </cell>
        </row>
        <row r="21">
          <cell r="A21">
            <v>218002</v>
          </cell>
          <cell r="B21" t="str">
            <v>Placas, Engomados, Calcomanías y Hologramas</v>
          </cell>
          <cell r="C21" t="str">
            <v>S</v>
          </cell>
        </row>
        <row r="22">
          <cell r="A22">
            <v>218003</v>
          </cell>
          <cell r="B22" t="str">
            <v>Emisión de Licencias de Conducir</v>
          </cell>
          <cell r="C22" t="str">
            <v>S</v>
          </cell>
        </row>
        <row r="23">
          <cell r="A23">
            <v>218004</v>
          </cell>
          <cell r="B23" t="str">
            <v>Emisión de Formatos Únicos de Control Vehicular</v>
          </cell>
          <cell r="C23" t="str">
            <v>S</v>
          </cell>
        </row>
        <row r="24">
          <cell r="A24">
            <v>220000</v>
          </cell>
          <cell r="B24" t="str">
            <v>ALIMENTOS Y UTENSILIOS</v>
          </cell>
          <cell r="C24" t="str">
            <v>N</v>
          </cell>
        </row>
        <row r="25">
          <cell r="A25">
            <v>221000</v>
          </cell>
          <cell r="B25" t="str">
            <v>Productos alimenticios para personas</v>
          </cell>
          <cell r="C25" t="str">
            <v>N</v>
          </cell>
        </row>
        <row r="26">
          <cell r="A26">
            <v>221001</v>
          </cell>
          <cell r="B26" t="str">
            <v>Alimentación de personas</v>
          </cell>
          <cell r="C26" t="str">
            <v>S</v>
          </cell>
        </row>
        <row r="27">
          <cell r="A27">
            <v>222000</v>
          </cell>
          <cell r="B27" t="str">
            <v>Productos alimenticios para animales</v>
          </cell>
          <cell r="C27" t="str">
            <v>N</v>
          </cell>
        </row>
        <row r="28">
          <cell r="A28">
            <v>222001</v>
          </cell>
          <cell r="B28" t="str">
            <v>Alimentación de animales</v>
          </cell>
          <cell r="C28" t="str">
            <v>S</v>
          </cell>
        </row>
        <row r="29">
          <cell r="A29">
            <v>223000</v>
          </cell>
          <cell r="B29" t="str">
            <v>Utensilios para el servicio de alimentación</v>
          </cell>
          <cell r="C29" t="str">
            <v>N</v>
          </cell>
        </row>
        <row r="30">
          <cell r="A30">
            <v>223001</v>
          </cell>
          <cell r="B30" t="str">
            <v>Utensilios para el servicio de alimentación</v>
          </cell>
          <cell r="C30" t="str">
            <v>S</v>
          </cell>
        </row>
        <row r="31">
          <cell r="A31">
            <v>230000</v>
          </cell>
          <cell r="B31" t="str">
            <v>MATERIAS PRIMAS Y MATERIALES DE PRODUCCIÓN Y COMERCIALIZACIÓN</v>
          </cell>
          <cell r="C31" t="str">
            <v>N</v>
          </cell>
        </row>
        <row r="32">
          <cell r="A32">
            <v>231000</v>
          </cell>
          <cell r="B32" t="str">
            <v>Productos alimenticios, agropecuarios y forestales adquiridos como materia prima</v>
          </cell>
          <cell r="C32" t="str">
            <v>N</v>
          </cell>
        </row>
        <row r="33">
          <cell r="A33">
            <v>231001</v>
          </cell>
          <cell r="B33" t="str">
            <v>Materias primas para producción</v>
          </cell>
          <cell r="C33" t="str">
            <v>S</v>
          </cell>
        </row>
        <row r="34">
          <cell r="A34">
            <v>232000</v>
          </cell>
          <cell r="B34" t="str">
            <v>Insumos textiles adquiridos como materia prima</v>
          </cell>
          <cell r="C34" t="str">
            <v>N</v>
          </cell>
        </row>
        <row r="35">
          <cell r="A35">
            <v>232001</v>
          </cell>
          <cell r="B35" t="str">
            <v>Insumos textiles adquiridos como materia prima</v>
          </cell>
          <cell r="C35" t="str">
            <v>S</v>
          </cell>
        </row>
        <row r="36">
          <cell r="A36">
            <v>233000</v>
          </cell>
          <cell r="B36" t="str">
            <v>Productos de papel, cartón e impresos adquiridos como materia prima</v>
          </cell>
          <cell r="C36" t="str">
            <v>N</v>
          </cell>
        </row>
        <row r="37">
          <cell r="A37">
            <v>233001</v>
          </cell>
          <cell r="B37" t="str">
            <v>Productos de papel, cartón e impresos adquiridos como materia prima</v>
          </cell>
          <cell r="C37" t="str">
            <v>S</v>
          </cell>
        </row>
        <row r="38">
          <cell r="A38">
            <v>234000</v>
          </cell>
          <cell r="B38" t="str">
            <v>Combustibles, lubricantes, aditivos, carbón y sus derivados adquiridos como materia prima</v>
          </cell>
          <cell r="C38" t="str">
            <v>N</v>
          </cell>
        </row>
        <row r="39">
          <cell r="A39">
            <v>234001</v>
          </cell>
          <cell r="B39" t="str">
            <v>Combustibles, lubricantes, aditivos, carbón y sus derivados adquiridos como materia prima</v>
          </cell>
          <cell r="C39" t="str">
            <v>S</v>
          </cell>
        </row>
        <row r="40">
          <cell r="A40">
            <v>235000</v>
          </cell>
          <cell r="B40" t="str">
            <v>Productos químicos, farmacéuticos y de laboratorio adquiridos como materia prima</v>
          </cell>
          <cell r="C40" t="str">
            <v>N</v>
          </cell>
        </row>
        <row r="41">
          <cell r="A41">
            <v>235001</v>
          </cell>
          <cell r="B41" t="str">
            <v>Productos químicos, farmacéuticos y de laboratorio adquiridos como materia prima</v>
          </cell>
          <cell r="C41" t="str">
            <v>S</v>
          </cell>
        </row>
        <row r="42">
          <cell r="A42">
            <v>236000</v>
          </cell>
          <cell r="B42" t="str">
            <v>Productos metálicos y a base de minerales no metálicos adquiridos como materia prima</v>
          </cell>
          <cell r="C42" t="str">
            <v>N</v>
          </cell>
        </row>
        <row r="43">
          <cell r="A43">
            <v>236001</v>
          </cell>
          <cell r="B43" t="str">
            <v>Productos metálicos y a base de minerales no metálicos adquiridos como materia prima</v>
          </cell>
          <cell r="C43" t="str">
            <v>S</v>
          </cell>
        </row>
        <row r="44">
          <cell r="A44">
            <v>237000</v>
          </cell>
          <cell r="B44" t="str">
            <v>Productos de cuero, piel, plástico y hule adquiridos como materia prima</v>
          </cell>
          <cell r="C44" t="str">
            <v>N</v>
          </cell>
        </row>
        <row r="45">
          <cell r="A45">
            <v>237001</v>
          </cell>
          <cell r="B45" t="str">
            <v>Productos de cuero, piel, plástico y hule adquiridos como materia prima</v>
          </cell>
          <cell r="C45" t="str">
            <v>S</v>
          </cell>
        </row>
        <row r="46">
          <cell r="A46">
            <v>238000</v>
          </cell>
          <cell r="B46" t="str">
            <v>Mercancías adquiridas para su comercialización</v>
          </cell>
          <cell r="C46" t="str">
            <v>N</v>
          </cell>
        </row>
        <row r="47">
          <cell r="A47">
            <v>238001</v>
          </cell>
          <cell r="B47" t="str">
            <v>Mercancías adquiridas para su comercialización</v>
          </cell>
          <cell r="C47" t="str">
            <v>S</v>
          </cell>
        </row>
        <row r="48">
          <cell r="A48">
            <v>240000</v>
          </cell>
          <cell r="B48" t="str">
            <v>MATERIALES Y ARTÍCULOS DE CONSTRUCCIÓN Y DE REPARACIÓN</v>
          </cell>
          <cell r="C48" t="str">
            <v>N</v>
          </cell>
        </row>
        <row r="49">
          <cell r="A49">
            <v>241000</v>
          </cell>
          <cell r="B49" t="str">
            <v>Productos minerales no metálicos</v>
          </cell>
          <cell r="C49" t="str">
            <v>N</v>
          </cell>
        </row>
        <row r="50">
          <cell r="A50">
            <v>241001</v>
          </cell>
          <cell r="B50" t="str">
            <v>Productos minerales no metálicos</v>
          </cell>
          <cell r="C50" t="str">
            <v>S</v>
          </cell>
        </row>
        <row r="51">
          <cell r="A51">
            <v>242000</v>
          </cell>
          <cell r="B51" t="str">
            <v>Cemento y productos de concreto</v>
          </cell>
          <cell r="C51" t="str">
            <v>N</v>
          </cell>
        </row>
        <row r="52">
          <cell r="A52">
            <v>242001</v>
          </cell>
          <cell r="B52" t="str">
            <v>Cemento y productos de concreto</v>
          </cell>
          <cell r="C52" t="str">
            <v>S</v>
          </cell>
        </row>
        <row r="53">
          <cell r="A53">
            <v>243000</v>
          </cell>
          <cell r="B53" t="str">
            <v>Cal, yeso y productos de yeso</v>
          </cell>
          <cell r="C53" t="str">
            <v>N</v>
          </cell>
        </row>
        <row r="54">
          <cell r="A54">
            <v>243001</v>
          </cell>
          <cell r="B54" t="str">
            <v>Cal, yeso y productos de yeso</v>
          </cell>
          <cell r="C54" t="str">
            <v>S</v>
          </cell>
        </row>
        <row r="55">
          <cell r="A55">
            <v>244000</v>
          </cell>
          <cell r="B55" t="str">
            <v>Madera y productos de madera</v>
          </cell>
          <cell r="C55" t="str">
            <v>N</v>
          </cell>
        </row>
        <row r="56">
          <cell r="A56">
            <v>244001</v>
          </cell>
          <cell r="B56" t="str">
            <v>Madera y productos de madera</v>
          </cell>
          <cell r="C56" t="str">
            <v>S</v>
          </cell>
        </row>
        <row r="57">
          <cell r="A57">
            <v>245000</v>
          </cell>
          <cell r="B57" t="str">
            <v>Vidrio y productos de vidrio</v>
          </cell>
          <cell r="C57" t="str">
            <v>N</v>
          </cell>
        </row>
        <row r="58">
          <cell r="A58">
            <v>245001</v>
          </cell>
          <cell r="B58" t="str">
            <v>Vidrio y productos de vidrio</v>
          </cell>
          <cell r="C58" t="str">
            <v>S</v>
          </cell>
        </row>
        <row r="59">
          <cell r="A59">
            <v>246000</v>
          </cell>
          <cell r="B59" t="str">
            <v>Material eléctrico y electrónico</v>
          </cell>
          <cell r="C59" t="str">
            <v>N</v>
          </cell>
        </row>
        <row r="60">
          <cell r="A60">
            <v>246001</v>
          </cell>
          <cell r="B60" t="str">
            <v>Material eléctrico</v>
          </cell>
          <cell r="C60" t="str">
            <v>S</v>
          </cell>
        </row>
        <row r="61">
          <cell r="A61">
            <v>246002</v>
          </cell>
          <cell r="B61" t="str">
            <v>Material electrónico</v>
          </cell>
          <cell r="C61" t="str">
            <v>S</v>
          </cell>
        </row>
        <row r="62">
          <cell r="A62">
            <v>247000</v>
          </cell>
          <cell r="B62" t="str">
            <v>Artículos metálicos para la construcción</v>
          </cell>
          <cell r="C62" t="str">
            <v>N</v>
          </cell>
        </row>
        <row r="63">
          <cell r="A63">
            <v>247001</v>
          </cell>
          <cell r="B63" t="str">
            <v>Artículos metálicos para la construcción</v>
          </cell>
          <cell r="C63" t="str">
            <v>S</v>
          </cell>
        </row>
        <row r="64">
          <cell r="A64">
            <v>248000</v>
          </cell>
          <cell r="B64" t="str">
            <v>Materiales complementarios</v>
          </cell>
          <cell r="C64" t="str">
            <v>N</v>
          </cell>
        </row>
        <row r="65">
          <cell r="A65">
            <v>248001</v>
          </cell>
          <cell r="B65" t="str">
            <v>Materiales complementarios</v>
          </cell>
          <cell r="C65" t="str">
            <v>S</v>
          </cell>
        </row>
        <row r="66">
          <cell r="A66">
            <v>249000</v>
          </cell>
          <cell r="B66" t="str">
            <v>Otros materiales y artículos de construcción y reparación</v>
          </cell>
          <cell r="C66" t="str">
            <v>N</v>
          </cell>
        </row>
        <row r="67">
          <cell r="A67">
            <v>249001</v>
          </cell>
          <cell r="B67" t="str">
            <v>Materiales de construcción y complementarios</v>
          </cell>
          <cell r="C67" t="str">
            <v>S</v>
          </cell>
        </row>
        <row r="68">
          <cell r="A68">
            <v>249002</v>
          </cell>
          <cell r="B68" t="str">
            <v>Otros materiales de construcción y reparación</v>
          </cell>
          <cell r="C68" t="str">
            <v>S</v>
          </cell>
        </row>
        <row r="69">
          <cell r="A69">
            <v>250000</v>
          </cell>
          <cell r="B69" t="str">
            <v>PRODUCTOS QUÍMICOS, FARMACÉUTICOS Y DE LABORATORIO</v>
          </cell>
          <cell r="C69" t="str">
            <v>N</v>
          </cell>
        </row>
        <row r="70">
          <cell r="A70">
            <v>251000</v>
          </cell>
          <cell r="B70" t="str">
            <v>Productos químicos básicos</v>
          </cell>
          <cell r="C70" t="str">
            <v>N</v>
          </cell>
        </row>
        <row r="71">
          <cell r="A71">
            <v>251001</v>
          </cell>
          <cell r="B71" t="str">
            <v>Gas Refrigerante</v>
          </cell>
          <cell r="C71" t="str">
            <v>S</v>
          </cell>
        </row>
        <row r="72">
          <cell r="A72">
            <v>252000</v>
          </cell>
          <cell r="B72" t="str">
            <v>Fertilizantes, pesticidas y otros agroquímicos</v>
          </cell>
          <cell r="C72" t="str">
            <v>N</v>
          </cell>
        </row>
        <row r="73">
          <cell r="A73">
            <v>252001</v>
          </cell>
          <cell r="B73" t="str">
            <v>Fertilizantes, pesticidas y otros agroquímicos</v>
          </cell>
          <cell r="C73" t="str">
            <v>S</v>
          </cell>
        </row>
        <row r="74">
          <cell r="A74">
            <v>253000</v>
          </cell>
          <cell r="B74" t="str">
            <v>Medicinas y productos químicos, farmacéuticos</v>
          </cell>
          <cell r="C74" t="str">
            <v>N</v>
          </cell>
        </row>
        <row r="75">
          <cell r="A75">
            <v>253001</v>
          </cell>
          <cell r="B75" t="str">
            <v>Material y productos químicos, farmacéuticos</v>
          </cell>
          <cell r="C75" t="str">
            <v>S</v>
          </cell>
        </row>
        <row r="76">
          <cell r="A76">
            <v>254000</v>
          </cell>
          <cell r="B76" t="str">
            <v>Materiales, accesorios y suministros médicos</v>
          </cell>
          <cell r="C76" t="str">
            <v>N</v>
          </cell>
        </row>
        <row r="77">
          <cell r="A77">
            <v>254001</v>
          </cell>
          <cell r="B77" t="str">
            <v>Materiales, accesorios y suministros médicos</v>
          </cell>
          <cell r="C77" t="str">
            <v>S</v>
          </cell>
        </row>
        <row r="78">
          <cell r="A78">
            <v>255000</v>
          </cell>
          <cell r="B78" t="str">
            <v>Materiales, accesorios y suministros de laboratorio</v>
          </cell>
          <cell r="C78" t="str">
            <v>N</v>
          </cell>
        </row>
        <row r="79">
          <cell r="A79">
            <v>255001</v>
          </cell>
          <cell r="B79" t="str">
            <v>Materiales, accesorios y suministros de laboratorio</v>
          </cell>
          <cell r="C79" t="str">
            <v>S</v>
          </cell>
        </row>
        <row r="80">
          <cell r="A80">
            <v>256000</v>
          </cell>
          <cell r="B80" t="str">
            <v>Fibras sintéticas, hules, plásticos y derivados</v>
          </cell>
          <cell r="C80" t="str">
            <v>N</v>
          </cell>
        </row>
        <row r="81">
          <cell r="A81">
            <v>256001</v>
          </cell>
          <cell r="B81" t="str">
            <v>Fibras sintéticas, hules, plásticos y derivados</v>
          </cell>
          <cell r="C81" t="str">
            <v>S</v>
          </cell>
        </row>
        <row r="82">
          <cell r="A82">
            <v>259000</v>
          </cell>
          <cell r="B82" t="str">
            <v>Otros productos químicos</v>
          </cell>
          <cell r="C82" t="str">
            <v>N</v>
          </cell>
        </row>
        <row r="83">
          <cell r="A83">
            <v>259001</v>
          </cell>
          <cell r="B83" t="str">
            <v>Otros productos químicos</v>
          </cell>
          <cell r="C83" t="str">
            <v>S</v>
          </cell>
        </row>
        <row r="84">
          <cell r="A84">
            <v>260000</v>
          </cell>
          <cell r="B84" t="str">
            <v>COMBUSTIBLES, LUBRICANTES Y ADITIVOS</v>
          </cell>
          <cell r="C84" t="str">
            <v>N</v>
          </cell>
        </row>
        <row r="85">
          <cell r="A85">
            <v>261000</v>
          </cell>
          <cell r="B85" t="str">
            <v>Combustibles, lubricantes y aditivos</v>
          </cell>
          <cell r="C85" t="str">
            <v>N</v>
          </cell>
        </row>
        <row r="86">
          <cell r="A86">
            <v>261001</v>
          </cell>
          <cell r="B86" t="str">
            <v>Combustibles</v>
          </cell>
          <cell r="C86" t="str">
            <v>S</v>
          </cell>
        </row>
        <row r="87">
          <cell r="A87">
            <v>261002</v>
          </cell>
          <cell r="B87" t="str">
            <v>Lubricantes y aditivos</v>
          </cell>
          <cell r="C87" t="str">
            <v>S</v>
          </cell>
        </row>
        <row r="88">
          <cell r="A88">
            <v>262000</v>
          </cell>
          <cell r="B88" t="str">
            <v>Carbón y sus derivados</v>
          </cell>
          <cell r="C88" t="str">
            <v>N</v>
          </cell>
        </row>
        <row r="89">
          <cell r="A89">
            <v>262001</v>
          </cell>
          <cell r="B89" t="str">
            <v>Carbón y sus derivados</v>
          </cell>
          <cell r="C89" t="str">
            <v>S</v>
          </cell>
        </row>
        <row r="90">
          <cell r="A90">
            <v>270000</v>
          </cell>
          <cell r="B90" t="str">
            <v>VESTUARIO, BLANCOS, PRENDAS DE PROTECCIÓN Y ARTÍCULOS DEPORTIVOS</v>
          </cell>
          <cell r="C90" t="str">
            <v>N</v>
          </cell>
        </row>
        <row r="91">
          <cell r="A91">
            <v>271000</v>
          </cell>
          <cell r="B91" t="str">
            <v>Vestuario y uniformes</v>
          </cell>
          <cell r="C91" t="str">
            <v>N</v>
          </cell>
        </row>
        <row r="92">
          <cell r="A92">
            <v>271001</v>
          </cell>
          <cell r="B92" t="str">
            <v>Ropa, vestuario y equipo</v>
          </cell>
          <cell r="C92" t="str">
            <v>S</v>
          </cell>
        </row>
        <row r="93">
          <cell r="A93">
            <v>272000</v>
          </cell>
          <cell r="B93" t="str">
            <v>Prendas de seguridad y protección personal</v>
          </cell>
          <cell r="C93" t="str">
            <v>N</v>
          </cell>
        </row>
        <row r="94">
          <cell r="A94">
            <v>272001</v>
          </cell>
          <cell r="B94" t="str">
            <v>Materiales explosivos y de seguridad pública</v>
          </cell>
          <cell r="C94" t="str">
            <v>S</v>
          </cell>
        </row>
        <row r="95">
          <cell r="A95">
            <v>272002</v>
          </cell>
          <cell r="B95" t="str">
            <v>Prendas de seguridad y protección personal</v>
          </cell>
          <cell r="C95" t="str">
            <v>S</v>
          </cell>
        </row>
        <row r="96">
          <cell r="A96">
            <v>273000</v>
          </cell>
          <cell r="B96" t="str">
            <v>Artículos deportivos</v>
          </cell>
          <cell r="C96" t="str">
            <v>N</v>
          </cell>
        </row>
        <row r="97">
          <cell r="A97">
            <v>273001</v>
          </cell>
          <cell r="B97" t="str">
            <v>Artículos deportivos</v>
          </cell>
          <cell r="C97" t="str">
            <v>S</v>
          </cell>
        </row>
        <row r="98">
          <cell r="A98">
            <v>274000</v>
          </cell>
          <cell r="B98" t="str">
            <v>Productos textiles</v>
          </cell>
          <cell r="C98" t="str">
            <v>N</v>
          </cell>
        </row>
        <row r="99">
          <cell r="A99">
            <v>274001</v>
          </cell>
          <cell r="B99" t="str">
            <v>Productos textiles</v>
          </cell>
          <cell r="C99" t="str">
            <v>S</v>
          </cell>
        </row>
        <row r="100">
          <cell r="A100">
            <v>275000</v>
          </cell>
          <cell r="B100" t="str">
            <v>Blancos y otros productos textiles, excepto prendas de vestir</v>
          </cell>
          <cell r="C100" t="str">
            <v>N</v>
          </cell>
        </row>
        <row r="101">
          <cell r="A101">
            <v>275001</v>
          </cell>
          <cell r="B101" t="str">
            <v>Blancos y otros productos textiles, excepto prendas de vestir</v>
          </cell>
          <cell r="C101" t="str">
            <v>S</v>
          </cell>
        </row>
        <row r="102">
          <cell r="A102">
            <v>280000</v>
          </cell>
          <cell r="B102" t="str">
            <v>MATERIALES Y SUMINISTROS PARA SEGURIDAD</v>
          </cell>
          <cell r="C102" t="str">
            <v>N</v>
          </cell>
        </row>
        <row r="103">
          <cell r="A103">
            <v>281000</v>
          </cell>
          <cell r="B103" t="str">
            <v>Sustancias y materiales explosivos</v>
          </cell>
          <cell r="C103" t="str">
            <v>N</v>
          </cell>
        </row>
        <row r="104">
          <cell r="A104">
            <v>281001</v>
          </cell>
          <cell r="B104" t="str">
            <v>Sustancias y materiales explosivos</v>
          </cell>
          <cell r="C104" t="str">
            <v>S</v>
          </cell>
        </row>
        <row r="105">
          <cell r="A105">
            <v>282000</v>
          </cell>
          <cell r="B105" t="str">
            <v>Materiales de seguridad pública</v>
          </cell>
          <cell r="C105" t="str">
            <v>N</v>
          </cell>
        </row>
        <row r="106">
          <cell r="A106">
            <v>282001</v>
          </cell>
          <cell r="B106" t="str">
            <v>Materiales de seguridad pública</v>
          </cell>
          <cell r="C106" t="str">
            <v>S</v>
          </cell>
        </row>
        <row r="107">
          <cell r="A107">
            <v>283000</v>
          </cell>
          <cell r="B107" t="str">
            <v>Prendas de protección para seguridad pública y nacional</v>
          </cell>
          <cell r="C107" t="str">
            <v>N</v>
          </cell>
        </row>
        <row r="108">
          <cell r="A108">
            <v>283001</v>
          </cell>
          <cell r="B108" t="str">
            <v>Prendas de protección para seguridad pública</v>
          </cell>
          <cell r="C108" t="str">
            <v>S</v>
          </cell>
        </row>
        <row r="109">
          <cell r="A109">
            <v>290000</v>
          </cell>
          <cell r="B109" t="str">
            <v>HERRAMIENTAS, REFACCIONES Y ACCESORIOS MENORES</v>
          </cell>
          <cell r="C109" t="str">
            <v>N</v>
          </cell>
        </row>
        <row r="110">
          <cell r="A110">
            <v>291000</v>
          </cell>
          <cell r="B110" t="str">
            <v>Herramientas menores</v>
          </cell>
          <cell r="C110" t="str">
            <v>N</v>
          </cell>
        </row>
        <row r="111">
          <cell r="A111">
            <v>291001</v>
          </cell>
          <cell r="B111" t="str">
            <v>Herramientas Auxiliares de Trabajo</v>
          </cell>
          <cell r="C111" t="str">
            <v>S</v>
          </cell>
        </row>
        <row r="112">
          <cell r="A112">
            <v>292000</v>
          </cell>
          <cell r="B112" t="str">
            <v>Refacciones y accesorios menores de edificios</v>
          </cell>
          <cell r="C112" t="str">
            <v>N</v>
          </cell>
        </row>
        <row r="113">
          <cell r="A113">
            <v>292001</v>
          </cell>
          <cell r="B113" t="str">
            <v>Refacciones y accesorios menores de edificios (candados, cerraduras, chapas, llaves)</v>
          </cell>
          <cell r="C113" t="str">
            <v>S</v>
          </cell>
        </row>
        <row r="114">
          <cell r="A114">
            <v>293000</v>
          </cell>
          <cell r="B114" t="str">
            <v>Refacciones y accesorios menores de mobiliario y equipo de administración, educacional y recreativo</v>
          </cell>
          <cell r="C114" t="str">
            <v>N</v>
          </cell>
        </row>
        <row r="115">
          <cell r="A115">
            <v>293001</v>
          </cell>
          <cell r="B115" t="str">
            <v>Refacciones y accesorios menores de mobiliario y equipo de administración, educacional y recreativo</v>
          </cell>
          <cell r="C115" t="str">
            <v>S</v>
          </cell>
        </row>
        <row r="116">
          <cell r="A116">
            <v>294000</v>
          </cell>
          <cell r="B116" t="str">
            <v>Refacciones y accesorios menores de equipo de cómputo y tecnologías de la información</v>
          </cell>
          <cell r="C116" t="str">
            <v>N</v>
          </cell>
        </row>
        <row r="117">
          <cell r="A117">
            <v>294001</v>
          </cell>
          <cell r="B117" t="str">
            <v>Dispositivos Internos y Externos de Equipo de Computo</v>
          </cell>
          <cell r="C117" t="str">
            <v>S</v>
          </cell>
        </row>
        <row r="118">
          <cell r="A118">
            <v>294002</v>
          </cell>
          <cell r="B118" t="str">
            <v>Refacciones y Accesorios Menores de Equipo de Computo</v>
          </cell>
          <cell r="C118" t="str">
            <v>S</v>
          </cell>
        </row>
        <row r="119">
          <cell r="A119">
            <v>295000</v>
          </cell>
          <cell r="B119" t="str">
            <v>Refacciones y accesorios menores de equipo e instrumental médico y de laboratorio</v>
          </cell>
          <cell r="C119" t="str">
            <v>N</v>
          </cell>
        </row>
        <row r="120">
          <cell r="A120">
            <v>295001</v>
          </cell>
          <cell r="B120" t="str">
            <v>Refacciones y accesorios menores de equipo e instrumental médico y de laboratorio</v>
          </cell>
          <cell r="C120" t="str">
            <v>S</v>
          </cell>
        </row>
        <row r="121">
          <cell r="A121">
            <v>296000</v>
          </cell>
          <cell r="B121" t="str">
            <v>Refacciones y accesorios menores de equipo de transporte</v>
          </cell>
          <cell r="C121" t="str">
            <v>N</v>
          </cell>
        </row>
        <row r="122">
          <cell r="A122">
            <v>296001</v>
          </cell>
          <cell r="B122" t="str">
            <v>Herramientas, refacciones y accesorios</v>
          </cell>
          <cell r="C122" t="str">
            <v>S</v>
          </cell>
        </row>
        <row r="123">
          <cell r="A123">
            <v>297000</v>
          </cell>
          <cell r="B123" t="str">
            <v>Refacciones y accesorios menores de equipo de defensa y seguridad</v>
          </cell>
          <cell r="C123" t="str">
            <v>N</v>
          </cell>
        </row>
        <row r="124">
          <cell r="A124">
            <v>297001</v>
          </cell>
          <cell r="B124" t="str">
            <v>Refacciones y accesorios menores de equipo de defensa y seguridad</v>
          </cell>
          <cell r="C124" t="str">
            <v>S</v>
          </cell>
        </row>
        <row r="125">
          <cell r="A125">
            <v>298000</v>
          </cell>
          <cell r="B125" t="str">
            <v>Refacciones y accesorios menores de maquinaria y otros equipos</v>
          </cell>
          <cell r="C125" t="str">
            <v>N</v>
          </cell>
        </row>
        <row r="126">
          <cell r="A126">
            <v>298001</v>
          </cell>
          <cell r="B126" t="str">
            <v>Refacciones y accesorios menores de maquinaria y otros equipos</v>
          </cell>
          <cell r="C126" t="str">
            <v>S</v>
          </cell>
        </row>
        <row r="127">
          <cell r="A127">
            <v>299000</v>
          </cell>
          <cell r="B127" t="str">
            <v>Refacciones y accesorios menores otros bienes muebles</v>
          </cell>
          <cell r="C127" t="str">
            <v>N</v>
          </cell>
        </row>
        <row r="128">
          <cell r="A128">
            <v>299001</v>
          </cell>
          <cell r="B128" t="str">
            <v>Refacciones y accesorios menores otros bienes muebles</v>
          </cell>
          <cell r="C128" t="str">
            <v>S</v>
          </cell>
        </row>
        <row r="129">
          <cell r="A129">
            <v>300000</v>
          </cell>
          <cell r="B129" t="str">
            <v>SERVICIOS GENERALES</v>
          </cell>
          <cell r="C129" t="str">
            <v>N</v>
          </cell>
        </row>
        <row r="130">
          <cell r="A130">
            <v>310000</v>
          </cell>
          <cell r="B130" t="str">
            <v>SERVICIOS BÁSICOS</v>
          </cell>
          <cell r="C130" t="str">
            <v>N</v>
          </cell>
        </row>
        <row r="131">
          <cell r="A131">
            <v>311000</v>
          </cell>
          <cell r="B131" t="str">
            <v>Energía eléctrica</v>
          </cell>
          <cell r="C131" t="str">
            <v>N</v>
          </cell>
        </row>
        <row r="132">
          <cell r="A132">
            <v>311001</v>
          </cell>
          <cell r="B132" t="str">
            <v>Servicio de energía eléctrica</v>
          </cell>
          <cell r="C132" t="str">
            <v>S</v>
          </cell>
        </row>
        <row r="133">
          <cell r="A133">
            <v>311002</v>
          </cell>
          <cell r="B133" t="str">
            <v>Contratación del servicio de energía eléctrica</v>
          </cell>
          <cell r="C133" t="str">
            <v>S</v>
          </cell>
        </row>
        <row r="134">
          <cell r="A134">
            <v>312000</v>
          </cell>
          <cell r="B134" t="str">
            <v>Gas</v>
          </cell>
          <cell r="C134" t="str">
            <v>N</v>
          </cell>
        </row>
        <row r="135">
          <cell r="A135">
            <v>312001</v>
          </cell>
          <cell r="B135" t="str">
            <v>Servicio de Gas L.P.</v>
          </cell>
          <cell r="C135" t="str">
            <v>S</v>
          </cell>
        </row>
        <row r="136">
          <cell r="A136">
            <v>313000</v>
          </cell>
          <cell r="B136" t="str">
            <v>Agua</v>
          </cell>
          <cell r="C136" t="str">
            <v>N</v>
          </cell>
        </row>
        <row r="137">
          <cell r="A137">
            <v>313001</v>
          </cell>
          <cell r="B137" t="str">
            <v>Servicio de agua potable</v>
          </cell>
          <cell r="C137" t="str">
            <v>S</v>
          </cell>
        </row>
        <row r="138">
          <cell r="A138">
            <v>313002</v>
          </cell>
          <cell r="B138" t="str">
            <v>Contratación del servicio de agua potable</v>
          </cell>
          <cell r="C138" t="str">
            <v>S</v>
          </cell>
        </row>
        <row r="139">
          <cell r="A139">
            <v>314000</v>
          </cell>
          <cell r="B139" t="str">
            <v>Telefonía tradicional</v>
          </cell>
          <cell r="C139" t="str">
            <v>N</v>
          </cell>
        </row>
        <row r="140">
          <cell r="A140">
            <v>314001</v>
          </cell>
          <cell r="B140" t="str">
            <v>Servicio telefónico</v>
          </cell>
          <cell r="C140" t="str">
            <v>S</v>
          </cell>
        </row>
        <row r="141">
          <cell r="A141">
            <v>315000</v>
          </cell>
          <cell r="B141" t="str">
            <v>Telefonía celular</v>
          </cell>
          <cell r="C141" t="str">
            <v>N</v>
          </cell>
        </row>
        <row r="142">
          <cell r="A142">
            <v>315001</v>
          </cell>
          <cell r="B142" t="str">
            <v>Telefonía celular</v>
          </cell>
          <cell r="C142" t="str">
            <v>S</v>
          </cell>
        </row>
        <row r="143">
          <cell r="A143">
            <v>316000</v>
          </cell>
          <cell r="B143" t="str">
            <v>Servicios de telecomunicaciones y satélites</v>
          </cell>
          <cell r="C143" t="str">
            <v>N</v>
          </cell>
        </row>
        <row r="144">
          <cell r="A144">
            <v>316001</v>
          </cell>
          <cell r="B144" t="str">
            <v>Servicios de telecomunicaciones y satélites</v>
          </cell>
          <cell r="C144" t="str">
            <v>S</v>
          </cell>
        </row>
        <row r="145">
          <cell r="A145">
            <v>317000</v>
          </cell>
          <cell r="B145" t="str">
            <v>Servicios de acceso de Internet, redes y procesamiento de información</v>
          </cell>
          <cell r="C145" t="str">
            <v>N</v>
          </cell>
        </row>
        <row r="146">
          <cell r="A146">
            <v>317001</v>
          </cell>
          <cell r="B146" t="str">
            <v>Servicios de acceso de Internet, redes y procesamiento de información</v>
          </cell>
          <cell r="C146" t="str">
            <v>S</v>
          </cell>
        </row>
        <row r="147">
          <cell r="A147">
            <v>318000</v>
          </cell>
          <cell r="B147" t="str">
            <v>Servicios postales y telegráficos</v>
          </cell>
          <cell r="C147" t="str">
            <v>N</v>
          </cell>
        </row>
        <row r="148">
          <cell r="A148">
            <v>318001</v>
          </cell>
          <cell r="B148" t="str">
            <v>Servicio postal y telegráfico</v>
          </cell>
          <cell r="C148" t="str">
            <v>S</v>
          </cell>
        </row>
        <row r="149">
          <cell r="A149">
            <v>319000</v>
          </cell>
          <cell r="B149" t="str">
            <v>Servicios integrales y otros servicios</v>
          </cell>
          <cell r="C149" t="str">
            <v>N</v>
          </cell>
        </row>
        <row r="150">
          <cell r="A150">
            <v>319001</v>
          </cell>
          <cell r="B150" t="str">
            <v>Servicios Integrales</v>
          </cell>
          <cell r="C150" t="str">
            <v>S</v>
          </cell>
        </row>
        <row r="151">
          <cell r="A151">
            <v>320000</v>
          </cell>
          <cell r="B151" t="str">
            <v>SERVICIOS DE ARRENDAMIENTO</v>
          </cell>
          <cell r="C151" t="str">
            <v>N</v>
          </cell>
        </row>
        <row r="152">
          <cell r="A152">
            <v>321000</v>
          </cell>
          <cell r="B152" t="str">
            <v>Arrendamiento de terrenos</v>
          </cell>
          <cell r="C152" t="str">
            <v>N</v>
          </cell>
        </row>
        <row r="153">
          <cell r="A153">
            <v>321001</v>
          </cell>
          <cell r="B153" t="str">
            <v>Arrendamiento de terrenos</v>
          </cell>
          <cell r="C153" t="str">
            <v>S</v>
          </cell>
        </row>
        <row r="154">
          <cell r="A154">
            <v>322000</v>
          </cell>
          <cell r="B154" t="str">
            <v>Arrendamiento de edificios</v>
          </cell>
          <cell r="C154" t="str">
            <v>N</v>
          </cell>
        </row>
        <row r="155">
          <cell r="A155">
            <v>322001</v>
          </cell>
          <cell r="B155" t="str">
            <v>Arrendamiento de edificios</v>
          </cell>
          <cell r="C155" t="str">
            <v>S</v>
          </cell>
        </row>
        <row r="156">
          <cell r="A156">
            <v>323000</v>
          </cell>
          <cell r="B156" t="str">
            <v>Arrendamiento de mobiliario y equipo de administración, educacional y recreativo</v>
          </cell>
          <cell r="C156" t="str">
            <v>N</v>
          </cell>
        </row>
        <row r="157">
          <cell r="A157">
            <v>323001</v>
          </cell>
          <cell r="B157" t="str">
            <v>Arrendamiento de maquinaria y equipo</v>
          </cell>
          <cell r="C157" t="str">
            <v>S</v>
          </cell>
        </row>
        <row r="158">
          <cell r="A158">
            <v>323002</v>
          </cell>
          <cell r="B158" t="str">
            <v>Arrendamiento de maquinaria y equipo de Administración</v>
          </cell>
          <cell r="C158" t="str">
            <v>S</v>
          </cell>
        </row>
        <row r="159">
          <cell r="A159">
            <v>323003</v>
          </cell>
          <cell r="B159" t="str">
            <v>Arrendamiento de Equipo Educacional y Recreativo</v>
          </cell>
          <cell r="C159" t="str">
            <v>S</v>
          </cell>
        </row>
        <row r="160">
          <cell r="A160">
            <v>323004</v>
          </cell>
          <cell r="B160" t="str">
            <v>Arrendamiento de Mobiliario y Equipo</v>
          </cell>
          <cell r="C160" t="str">
            <v>S</v>
          </cell>
        </row>
        <row r="161">
          <cell r="A161">
            <v>324000</v>
          </cell>
          <cell r="B161" t="str">
            <v>Arrendamiento de equipo e instrumental médico y de laboratorio</v>
          </cell>
          <cell r="C161" t="str">
            <v>N</v>
          </cell>
        </row>
        <row r="162">
          <cell r="A162">
            <v>324001</v>
          </cell>
          <cell r="B162" t="str">
            <v>Arrendamiento de equipo e instrumental médico y de laboratorio</v>
          </cell>
          <cell r="C162" t="str">
            <v>S</v>
          </cell>
        </row>
        <row r="163">
          <cell r="A163">
            <v>325000</v>
          </cell>
          <cell r="B163" t="str">
            <v>Arrendamiento de equipo de transporte</v>
          </cell>
          <cell r="C163" t="str">
            <v>N</v>
          </cell>
        </row>
        <row r="164">
          <cell r="A164">
            <v>325001</v>
          </cell>
          <cell r="B164" t="str">
            <v>Arrendamiento de equipo de transporte</v>
          </cell>
          <cell r="C164" t="str">
            <v>S</v>
          </cell>
        </row>
        <row r="165">
          <cell r="A165">
            <v>326000</v>
          </cell>
          <cell r="B165" t="str">
            <v>Arrendamiento de maquinaria, otros equipos y herramientas</v>
          </cell>
          <cell r="C165" t="str">
            <v>N</v>
          </cell>
        </row>
        <row r="166">
          <cell r="A166">
            <v>326001</v>
          </cell>
          <cell r="B166" t="str">
            <v>Arrendamiento de maquinaria, otros equipos y herramientas</v>
          </cell>
          <cell r="C166" t="str">
            <v>S</v>
          </cell>
        </row>
        <row r="167">
          <cell r="A167">
            <v>327000</v>
          </cell>
          <cell r="B167" t="str">
            <v>Arrendamiento de activos intangibles</v>
          </cell>
          <cell r="C167" t="str">
            <v>N</v>
          </cell>
        </row>
        <row r="168">
          <cell r="A168">
            <v>327001</v>
          </cell>
          <cell r="B168" t="str">
            <v>Arrendamiento de activos intangibles</v>
          </cell>
          <cell r="C168" t="str">
            <v>S</v>
          </cell>
        </row>
        <row r="169">
          <cell r="A169">
            <v>328000</v>
          </cell>
          <cell r="B169" t="str">
            <v>Arrendamiento financiero</v>
          </cell>
          <cell r="C169" t="str">
            <v>N</v>
          </cell>
        </row>
        <row r="170">
          <cell r="A170">
            <v>328001</v>
          </cell>
          <cell r="B170" t="str">
            <v>Arrendamiento financiero</v>
          </cell>
          <cell r="C170" t="str">
            <v>S</v>
          </cell>
        </row>
        <row r="171">
          <cell r="A171">
            <v>328002</v>
          </cell>
          <cell r="B171" t="str">
            <v>Programa Estatal de Arrendamiento Vehicular</v>
          </cell>
          <cell r="C171" t="str">
            <v>S</v>
          </cell>
        </row>
        <row r="172">
          <cell r="A172">
            <v>329000</v>
          </cell>
          <cell r="B172" t="str">
            <v>Otros arrendamientos</v>
          </cell>
          <cell r="C172" t="str">
            <v>N</v>
          </cell>
        </row>
        <row r="173">
          <cell r="A173">
            <v>329001</v>
          </cell>
          <cell r="B173" t="str">
            <v>Arrendamientos especiales</v>
          </cell>
          <cell r="C173" t="str">
            <v>S</v>
          </cell>
        </row>
        <row r="174">
          <cell r="A174">
            <v>330000</v>
          </cell>
          <cell r="B174" t="str">
            <v>SERVICIOS PROFESIONALES, CIENTÍFICOS, TÉCNICOS Y OTROS SERVICIOS</v>
          </cell>
          <cell r="C174" t="str">
            <v>N</v>
          </cell>
        </row>
        <row r="175">
          <cell r="A175">
            <v>331000</v>
          </cell>
          <cell r="B175" t="str">
            <v>Servicios legales, de contabilidad, auditoría y relacionados</v>
          </cell>
          <cell r="C175" t="str">
            <v>N</v>
          </cell>
        </row>
        <row r="176">
          <cell r="A176">
            <v>331001</v>
          </cell>
          <cell r="B176" t="str">
            <v>Asesorías</v>
          </cell>
          <cell r="C176" t="str">
            <v>S</v>
          </cell>
        </row>
        <row r="177">
          <cell r="A177">
            <v>331002</v>
          </cell>
          <cell r="B177" t="str">
            <v>Servicios Notariales</v>
          </cell>
          <cell r="C177" t="str">
            <v>S</v>
          </cell>
        </row>
        <row r="178">
          <cell r="A178">
            <v>331003</v>
          </cell>
          <cell r="B178" t="str">
            <v>Consultoría y Gestión</v>
          </cell>
          <cell r="C178" t="str">
            <v>S</v>
          </cell>
        </row>
        <row r="179">
          <cell r="A179">
            <v>332000</v>
          </cell>
          <cell r="B179" t="str">
            <v>Servicios de diseño, arquitectura, ingeniería y actividades relacionadas</v>
          </cell>
          <cell r="C179" t="str">
            <v>N</v>
          </cell>
        </row>
        <row r="180">
          <cell r="A180">
            <v>332001</v>
          </cell>
          <cell r="B180" t="str">
            <v>Servicios de diseño, arquitectura, ingeniería y actividades relacionadas</v>
          </cell>
          <cell r="C180" t="str">
            <v>S</v>
          </cell>
        </row>
        <row r="181">
          <cell r="A181">
            <v>333000</v>
          </cell>
          <cell r="B181" t="str">
            <v>Servicios de consultoría administrativa, procesos, técnica y en tecnologías de la información</v>
          </cell>
          <cell r="C181" t="str">
            <v>N</v>
          </cell>
        </row>
        <row r="182">
          <cell r="A182">
            <v>333001</v>
          </cell>
          <cell r="B182" t="str">
            <v>Estudios e investigaciones</v>
          </cell>
          <cell r="C182" t="str">
            <v>S</v>
          </cell>
        </row>
        <row r="183">
          <cell r="A183">
            <v>333002</v>
          </cell>
          <cell r="B183" t="str">
            <v>Sistematización de la Armonización Contable y Presupuestal</v>
          </cell>
          <cell r="C183" t="str">
            <v>S</v>
          </cell>
        </row>
        <row r="184">
          <cell r="A184">
            <v>333003</v>
          </cell>
          <cell r="B184" t="str">
            <v>Servicios de consultoría administrativa, procesos, técnica y en tecnologías de la información</v>
          </cell>
          <cell r="C184" t="str">
            <v>S</v>
          </cell>
        </row>
        <row r="185">
          <cell r="A185">
            <v>334000</v>
          </cell>
          <cell r="B185" t="str">
            <v>Servicios de capacitación</v>
          </cell>
          <cell r="C185" t="str">
            <v>N</v>
          </cell>
        </row>
        <row r="186">
          <cell r="A186">
            <v>334001</v>
          </cell>
          <cell r="B186" t="str">
            <v>Cuotas e inscripciones</v>
          </cell>
          <cell r="C186" t="str">
            <v>S</v>
          </cell>
        </row>
        <row r="187">
          <cell r="A187">
            <v>334002</v>
          </cell>
          <cell r="B187" t="str">
            <v>Servicios de Capacitación</v>
          </cell>
          <cell r="C187" t="str">
            <v>S</v>
          </cell>
        </row>
        <row r="188">
          <cell r="A188">
            <v>335000</v>
          </cell>
          <cell r="B188" t="str">
            <v>Servicios de investigación científica y desarrollo</v>
          </cell>
          <cell r="C188" t="str">
            <v>N</v>
          </cell>
        </row>
        <row r="189">
          <cell r="A189">
            <v>335001</v>
          </cell>
          <cell r="B189" t="str">
            <v>Servicios de investigación científica y desarrollo</v>
          </cell>
          <cell r="C189" t="str">
            <v>S</v>
          </cell>
        </row>
        <row r="190">
          <cell r="A190">
            <v>336000</v>
          </cell>
          <cell r="B190" t="str">
            <v>Servicios de apoyo administrativo, traducción, fotocopiado e impresión</v>
          </cell>
          <cell r="C190" t="str">
            <v>N</v>
          </cell>
        </row>
        <row r="191">
          <cell r="A191">
            <v>336001</v>
          </cell>
          <cell r="B191" t="str">
            <v>Servicio de Fotocopiado, Enmicado y Encuadernación de Documentos.</v>
          </cell>
          <cell r="C191" t="str">
            <v>S</v>
          </cell>
        </row>
        <row r="192">
          <cell r="A192">
            <v>336002</v>
          </cell>
          <cell r="B192" t="str">
            <v>Servicio de Impresión y Elaboración de Material Informativo</v>
          </cell>
          <cell r="C192" t="str">
            <v>S</v>
          </cell>
        </row>
        <row r="193">
          <cell r="A193">
            <v>337000</v>
          </cell>
          <cell r="B193" t="str">
            <v>Servicios de protección y seguridad</v>
          </cell>
          <cell r="C193" t="str">
            <v>N</v>
          </cell>
        </row>
        <row r="194">
          <cell r="A194">
            <v>337001</v>
          </cell>
          <cell r="B194" t="str">
            <v>Dispositivo de seguridad pública</v>
          </cell>
          <cell r="C194" t="str">
            <v>S</v>
          </cell>
        </row>
        <row r="195">
          <cell r="A195">
            <v>338000</v>
          </cell>
          <cell r="B195" t="str">
            <v>Servicios de vigilancia</v>
          </cell>
          <cell r="C195" t="str">
            <v>N</v>
          </cell>
        </row>
        <row r="196">
          <cell r="A196">
            <v>338001</v>
          </cell>
          <cell r="B196" t="str">
            <v>Servicio de seguridad privada</v>
          </cell>
          <cell r="C196" t="str">
            <v>S</v>
          </cell>
        </row>
        <row r="197">
          <cell r="A197">
            <v>339000</v>
          </cell>
          <cell r="B197" t="str">
            <v>Servicios profesionales, científicos y técnicos integrales</v>
          </cell>
          <cell r="C197" t="str">
            <v>N</v>
          </cell>
        </row>
        <row r="198">
          <cell r="A198">
            <v>339001</v>
          </cell>
          <cell r="B198" t="str">
            <v>Servicios profesionales, científicos y técnicos integrales</v>
          </cell>
          <cell r="C198" t="str">
            <v>S</v>
          </cell>
        </row>
        <row r="199">
          <cell r="A199">
            <v>340000</v>
          </cell>
          <cell r="B199" t="str">
            <v>SERVICIOS FINANCIEROS, BANCARIOS Y COMERCIALES</v>
          </cell>
          <cell r="C199" t="str">
            <v>N</v>
          </cell>
        </row>
        <row r="200">
          <cell r="A200">
            <v>341000</v>
          </cell>
          <cell r="B200" t="str">
            <v>Servicios financieros y bancarios</v>
          </cell>
          <cell r="C200" t="str">
            <v>N</v>
          </cell>
        </row>
        <row r="201">
          <cell r="A201">
            <v>341001</v>
          </cell>
          <cell r="B201" t="str">
            <v>Comisiones, descuentos y otros servicios bancarios</v>
          </cell>
          <cell r="C201" t="str">
            <v>S</v>
          </cell>
        </row>
        <row r="202">
          <cell r="A202">
            <v>342000</v>
          </cell>
          <cell r="B202" t="str">
            <v>Servicios de cobranza, investigación crediticia y similar</v>
          </cell>
          <cell r="C202" t="str">
            <v>N</v>
          </cell>
        </row>
        <row r="203">
          <cell r="A203">
            <v>342001</v>
          </cell>
          <cell r="B203" t="str">
            <v>Servicios de cobranza, investigación crediticia y similar</v>
          </cell>
          <cell r="C203" t="str">
            <v>S</v>
          </cell>
        </row>
        <row r="204">
          <cell r="A204">
            <v>343000</v>
          </cell>
          <cell r="B204" t="str">
            <v>Servicios de recaudación, traslado y custodia de valores</v>
          </cell>
          <cell r="C204" t="str">
            <v>N</v>
          </cell>
        </row>
        <row r="205">
          <cell r="A205">
            <v>343001</v>
          </cell>
          <cell r="B205" t="str">
            <v>Servicios de recaudación, traslado y custodia de valores</v>
          </cell>
          <cell r="C205" t="str">
            <v>S</v>
          </cell>
        </row>
        <row r="206">
          <cell r="A206">
            <v>344000</v>
          </cell>
          <cell r="B206" t="str">
            <v>Seguros de responsabilidad patrimonial y fianzas</v>
          </cell>
          <cell r="C206" t="str">
            <v>N</v>
          </cell>
        </row>
        <row r="207">
          <cell r="A207">
            <v>344001</v>
          </cell>
          <cell r="B207" t="str">
            <v>Seguros de responsabilidad patrimonial y fianzas</v>
          </cell>
          <cell r="C207" t="str">
            <v>S</v>
          </cell>
        </row>
        <row r="208">
          <cell r="A208">
            <v>345000</v>
          </cell>
          <cell r="B208" t="str">
            <v>Seguro de bienes patrimoniales</v>
          </cell>
          <cell r="C208" t="str">
            <v>N</v>
          </cell>
        </row>
        <row r="209">
          <cell r="A209">
            <v>345001</v>
          </cell>
          <cell r="B209" t="str">
            <v>Seguros</v>
          </cell>
          <cell r="C209" t="str">
            <v>S</v>
          </cell>
        </row>
        <row r="210">
          <cell r="A210">
            <v>346000</v>
          </cell>
          <cell r="B210" t="str">
            <v>Almacenaje, envase y embalaje</v>
          </cell>
          <cell r="C210" t="str">
            <v>N</v>
          </cell>
        </row>
        <row r="211">
          <cell r="A211">
            <v>346001</v>
          </cell>
          <cell r="B211" t="str">
            <v>Almacenaje, envase y embalaje</v>
          </cell>
          <cell r="C211" t="str">
            <v>S</v>
          </cell>
        </row>
        <row r="212">
          <cell r="A212">
            <v>347000</v>
          </cell>
          <cell r="B212" t="str">
            <v>Fletes y maniobras</v>
          </cell>
          <cell r="C212" t="str">
            <v>N</v>
          </cell>
        </row>
        <row r="213">
          <cell r="A213">
            <v>347001</v>
          </cell>
          <cell r="B213" t="str">
            <v>Fletes, maniobras y almacenaje</v>
          </cell>
          <cell r="C213" t="str">
            <v>S</v>
          </cell>
        </row>
        <row r="214">
          <cell r="A214">
            <v>348000</v>
          </cell>
          <cell r="B214" t="str">
            <v>Comisiones por ventas</v>
          </cell>
          <cell r="C214" t="str">
            <v>N</v>
          </cell>
        </row>
        <row r="215">
          <cell r="A215">
            <v>348001</v>
          </cell>
          <cell r="B215" t="str">
            <v>Comisiones por ventas</v>
          </cell>
          <cell r="C215" t="str">
            <v>S</v>
          </cell>
        </row>
        <row r="216">
          <cell r="A216">
            <v>349000</v>
          </cell>
          <cell r="B216" t="str">
            <v>Servicios financieros, bancarios y comerciales integrales</v>
          </cell>
          <cell r="C216" t="str">
            <v>N</v>
          </cell>
        </row>
        <row r="217">
          <cell r="A217">
            <v>349001</v>
          </cell>
          <cell r="B217" t="str">
            <v>Servicios financieros, bancarios y comerciales integrales</v>
          </cell>
          <cell r="C217" t="str">
            <v>S</v>
          </cell>
        </row>
        <row r="218">
          <cell r="A218">
            <v>350000</v>
          </cell>
          <cell r="B218" t="str">
            <v>SERVICIOS DE INSTALACIÓN, REPARACIÓN, MANTENIMIENTO Y CONSERVACIÓN</v>
          </cell>
          <cell r="C218" t="str">
            <v>N</v>
          </cell>
        </row>
        <row r="219">
          <cell r="A219">
            <v>351000</v>
          </cell>
          <cell r="B219" t="str">
            <v>Conservación y mantenimiento menor de inmuebles</v>
          </cell>
          <cell r="C219" t="str">
            <v>N</v>
          </cell>
        </row>
        <row r="220">
          <cell r="A220">
            <v>351001</v>
          </cell>
          <cell r="B220" t="str">
            <v>Mantenimiento de inmuebles</v>
          </cell>
          <cell r="C220" t="str">
            <v>S</v>
          </cell>
        </row>
        <row r="221">
          <cell r="A221">
            <v>351002</v>
          </cell>
          <cell r="B221" t="str">
            <v>Fumigación de Inmuebles</v>
          </cell>
          <cell r="C221" t="str">
            <v>S</v>
          </cell>
        </row>
        <row r="222">
          <cell r="A222">
            <v>351003</v>
          </cell>
          <cell r="B222" t="str">
            <v>Mantto. y Conserv. de Inmuebles Sub Proc. Zona Norte</v>
          </cell>
          <cell r="C222" t="str">
            <v>S</v>
          </cell>
        </row>
        <row r="223">
          <cell r="A223">
            <v>352000</v>
          </cell>
          <cell r="B223" t="str">
            <v>Instalación, reparación y mantenimiento de mobiliario y equipo de administración, educacional y recreativo</v>
          </cell>
          <cell r="C223" t="str">
            <v>N</v>
          </cell>
        </row>
        <row r="224">
          <cell r="A224">
            <v>352001</v>
          </cell>
          <cell r="B224" t="str">
            <v>Mantenimiento de mobiliario y equipo</v>
          </cell>
          <cell r="C224" t="str">
            <v>S</v>
          </cell>
        </row>
        <row r="225">
          <cell r="A225">
            <v>352002</v>
          </cell>
          <cell r="B225" t="str">
            <v>Gastos de instalación</v>
          </cell>
          <cell r="C225" t="str">
            <v>S</v>
          </cell>
        </row>
        <row r="226">
          <cell r="A226">
            <v>352003</v>
          </cell>
          <cell r="B226" t="str">
            <v>Mantto. y Conservación Archivo General de Notarias del Gob. del Edo.</v>
          </cell>
          <cell r="C226" t="str">
            <v>S</v>
          </cell>
        </row>
        <row r="227">
          <cell r="A227">
            <v>353000</v>
          </cell>
          <cell r="B227" t="str">
            <v>Instalación, reparación y mantenimiento de equipo de cómputo y tecnología de la información</v>
          </cell>
          <cell r="C227" t="str">
            <v>N</v>
          </cell>
        </row>
        <row r="228">
          <cell r="A228">
            <v>353001</v>
          </cell>
          <cell r="B228" t="str">
            <v>Instalación, reparación y mantenimiento de equipo de cómputo y tecnología  de la información</v>
          </cell>
          <cell r="C228" t="str">
            <v>S</v>
          </cell>
        </row>
        <row r="229">
          <cell r="A229">
            <v>354000</v>
          </cell>
          <cell r="B229" t="str">
            <v>Instalación, reparación y mantenimiento de equipo e instrumental médico y de laboratorio</v>
          </cell>
          <cell r="C229" t="str">
            <v>N</v>
          </cell>
        </row>
        <row r="230">
          <cell r="A230">
            <v>354001</v>
          </cell>
          <cell r="B230" t="str">
            <v>Instalación, reparación y mantenimiento de equipo e instrumental médico y de laboratorio</v>
          </cell>
          <cell r="C230" t="str">
            <v>S</v>
          </cell>
        </row>
        <row r="231">
          <cell r="A231">
            <v>355000</v>
          </cell>
          <cell r="B231" t="str">
            <v>Reparación y mantenimiento de equipo de transporte</v>
          </cell>
          <cell r="C231" t="str">
            <v>N</v>
          </cell>
        </row>
        <row r="232">
          <cell r="A232">
            <v>355001</v>
          </cell>
          <cell r="B232" t="str">
            <v>Mantto. y conservación de vehículos terrestres, aéreos, marítimos, lacustres y fluviales</v>
          </cell>
          <cell r="C232" t="str">
            <v>S</v>
          </cell>
        </row>
        <row r="233">
          <cell r="A233">
            <v>356000</v>
          </cell>
          <cell r="B233" t="str">
            <v>Reparación y mantenimiento de equipo de defensa y seguridad</v>
          </cell>
          <cell r="C233" t="str">
            <v>N</v>
          </cell>
        </row>
        <row r="234">
          <cell r="A234">
            <v>356001</v>
          </cell>
          <cell r="B234" t="str">
            <v>Reparación y mantenimiento de equipo de defensa y seguridad</v>
          </cell>
          <cell r="C234" t="str">
            <v>S</v>
          </cell>
        </row>
        <row r="235">
          <cell r="A235">
            <v>357000</v>
          </cell>
          <cell r="B235" t="str">
            <v>Instalación, reparación y mantenimiento de maquinaria, otros equipos y herramienta</v>
          </cell>
          <cell r="C235" t="str">
            <v>N</v>
          </cell>
        </row>
        <row r="236">
          <cell r="A236">
            <v>357001</v>
          </cell>
          <cell r="B236" t="str">
            <v>Instalación, reparación y mantenimiento de Equipo de Telecomunicaciones</v>
          </cell>
          <cell r="C236" t="str">
            <v>S</v>
          </cell>
        </row>
        <row r="237">
          <cell r="A237">
            <v>357002</v>
          </cell>
          <cell r="B237" t="str">
            <v>Instalación, reparación y mantenimiento de maquinaria, otros equipos y herramienta</v>
          </cell>
          <cell r="C237" t="str">
            <v>S</v>
          </cell>
        </row>
        <row r="238">
          <cell r="A238">
            <v>358000</v>
          </cell>
          <cell r="B238" t="str">
            <v>Servicios de limpieza y manejo de desechos</v>
          </cell>
          <cell r="C238" t="str">
            <v>N</v>
          </cell>
        </row>
        <row r="239">
          <cell r="A239">
            <v>358001</v>
          </cell>
          <cell r="B239" t="str">
            <v>Servicios de higiene y limpieza</v>
          </cell>
          <cell r="C239" t="str">
            <v>S</v>
          </cell>
        </row>
        <row r="240">
          <cell r="A240">
            <v>358002</v>
          </cell>
          <cell r="B240" t="str">
            <v>Servicios de Limpieza y Lavado de Vehículos</v>
          </cell>
          <cell r="C240" t="str">
            <v>S</v>
          </cell>
        </row>
        <row r="241">
          <cell r="A241">
            <v>358003</v>
          </cell>
          <cell r="B241" t="str">
            <v>Servicios de Lavandería</v>
          </cell>
          <cell r="C241" t="str">
            <v>S</v>
          </cell>
        </row>
        <row r="242">
          <cell r="A242">
            <v>359000</v>
          </cell>
          <cell r="B242" t="str">
            <v>Servicios de jardinería y fumigación</v>
          </cell>
          <cell r="C242" t="str">
            <v>N</v>
          </cell>
        </row>
        <row r="243">
          <cell r="A243">
            <v>359001</v>
          </cell>
          <cell r="B243" t="str">
            <v>Árboles, plantas, semillas y abonos</v>
          </cell>
          <cell r="C243" t="str">
            <v>S</v>
          </cell>
        </row>
        <row r="244">
          <cell r="A244">
            <v>359002</v>
          </cell>
          <cell r="B244" t="str">
            <v>Fumigación de áreas verdes</v>
          </cell>
          <cell r="C244" t="str">
            <v>S</v>
          </cell>
        </row>
        <row r="245">
          <cell r="A245">
            <v>360000</v>
          </cell>
          <cell r="B245" t="str">
            <v>SERVICIOS DE COMUNICACIÓN SOCIAL Y PUBLICIDAD</v>
          </cell>
          <cell r="C245" t="str">
            <v>N</v>
          </cell>
        </row>
        <row r="246">
          <cell r="A246">
            <v>361000</v>
          </cell>
          <cell r="B246" t="str">
            <v>Difusión por radio, televisión y otros medios de mensajes sobre programas y actividades gubernamentales</v>
          </cell>
          <cell r="C246" t="str">
            <v>N</v>
          </cell>
        </row>
        <row r="247">
          <cell r="A247">
            <v>361001</v>
          </cell>
          <cell r="B247" t="str">
            <v>Gastos de difusión</v>
          </cell>
          <cell r="C247" t="str">
            <v>S</v>
          </cell>
        </row>
        <row r="248">
          <cell r="A248">
            <v>361002</v>
          </cell>
          <cell r="B248" t="str">
            <v>Impresiones y publicaciones oficiales</v>
          </cell>
          <cell r="C248" t="str">
            <v>S</v>
          </cell>
        </row>
        <row r="249">
          <cell r="A249">
            <v>361003</v>
          </cell>
          <cell r="B249" t="str">
            <v>Rotulaciones oficiales</v>
          </cell>
          <cell r="C249" t="str">
            <v>S</v>
          </cell>
        </row>
        <row r="250">
          <cell r="A250">
            <v>361004</v>
          </cell>
          <cell r="B250" t="str">
            <v>Publicación de convocatorias</v>
          </cell>
          <cell r="C250" t="str">
            <v>S</v>
          </cell>
        </row>
        <row r="251">
          <cell r="A251">
            <v>362000</v>
          </cell>
          <cell r="B251" t="str">
            <v>Difusión por radio, televisión y otros medios de mensajes comerciales para promover la venta de bienes o servicios</v>
          </cell>
          <cell r="C251" t="str">
            <v>N</v>
          </cell>
        </row>
        <row r="252">
          <cell r="A252">
            <v>362001</v>
          </cell>
          <cell r="B252" t="str">
            <v>Difusión por radio, televisión y otros medios de mensajes comerciales para promover la venta de bienes o servicios</v>
          </cell>
          <cell r="C252" t="str">
            <v>S</v>
          </cell>
        </row>
        <row r="253">
          <cell r="A253">
            <v>362002</v>
          </cell>
          <cell r="B253" t="str">
            <v>Difusión por radio, televisión y otros medios de mensajes comerciales para promover la venta de bienes o servicios, fuera del país</v>
          </cell>
          <cell r="C253" t="str">
            <v>S</v>
          </cell>
        </row>
        <row r="254">
          <cell r="A254">
            <v>363000</v>
          </cell>
          <cell r="B254" t="str">
            <v>Servicios de creatividad, preproducción y producción de publicidad, excepto Internet</v>
          </cell>
          <cell r="C254" t="str">
            <v>N</v>
          </cell>
        </row>
        <row r="255">
          <cell r="A255">
            <v>363001</v>
          </cell>
          <cell r="B255" t="str">
            <v>Servicios de Producción y Diseño Publicitario</v>
          </cell>
          <cell r="C255" t="str">
            <v>S</v>
          </cell>
        </row>
        <row r="256">
          <cell r="A256">
            <v>364000</v>
          </cell>
          <cell r="B256" t="str">
            <v>Servicios de revelado de fotografías</v>
          </cell>
          <cell r="C256" t="str">
            <v>N</v>
          </cell>
        </row>
        <row r="257">
          <cell r="A257">
            <v>364001</v>
          </cell>
          <cell r="B257" t="str">
            <v>Revelado de Fotografías</v>
          </cell>
          <cell r="C257" t="str">
            <v>S</v>
          </cell>
        </row>
        <row r="258">
          <cell r="A258">
            <v>365000</v>
          </cell>
          <cell r="B258" t="str">
            <v>Servicios de la industria fílmica, del sonido y del video</v>
          </cell>
          <cell r="C258" t="str">
            <v>N</v>
          </cell>
        </row>
        <row r="259">
          <cell r="A259">
            <v>365001</v>
          </cell>
          <cell r="B259" t="str">
            <v>Servicios de la industria fílmica, del sonido y del video</v>
          </cell>
          <cell r="C259" t="str">
            <v>S</v>
          </cell>
        </row>
        <row r="260">
          <cell r="A260">
            <v>366000</v>
          </cell>
          <cell r="B260" t="str">
            <v>Servicio de creación y difusión de contenido exclusivamente a través de Internet</v>
          </cell>
          <cell r="C260" t="str">
            <v>N</v>
          </cell>
        </row>
        <row r="261">
          <cell r="A261">
            <v>366001</v>
          </cell>
          <cell r="B261" t="str">
            <v>Gastos de difusión a través de internet</v>
          </cell>
          <cell r="C261" t="str">
            <v>S</v>
          </cell>
        </row>
        <row r="262">
          <cell r="A262">
            <v>369000</v>
          </cell>
          <cell r="B262" t="str">
            <v>Otros servicios de información</v>
          </cell>
          <cell r="C262" t="str">
            <v>N</v>
          </cell>
        </row>
        <row r="263">
          <cell r="A263">
            <v>369001</v>
          </cell>
          <cell r="B263" t="str">
            <v>Monitoreo de Información y Encuestas</v>
          </cell>
          <cell r="C263" t="str">
            <v>S</v>
          </cell>
        </row>
        <row r="264">
          <cell r="A264">
            <v>370000</v>
          </cell>
          <cell r="B264" t="str">
            <v>SERVICIOS DE TRASLADO Y VIÁTICOS</v>
          </cell>
          <cell r="C264" t="str">
            <v>N</v>
          </cell>
        </row>
        <row r="265">
          <cell r="A265">
            <v>371000</v>
          </cell>
          <cell r="B265" t="str">
            <v>Pasajes aéreos</v>
          </cell>
          <cell r="C265" t="str">
            <v>N</v>
          </cell>
        </row>
        <row r="266">
          <cell r="A266">
            <v>371001</v>
          </cell>
          <cell r="B266" t="str">
            <v>Pasajes aéreos</v>
          </cell>
          <cell r="C266" t="str">
            <v>S</v>
          </cell>
        </row>
        <row r="267">
          <cell r="A267">
            <v>372000</v>
          </cell>
          <cell r="B267" t="str">
            <v>Pasajes terrestres</v>
          </cell>
          <cell r="C267" t="str">
            <v>N</v>
          </cell>
        </row>
        <row r="268">
          <cell r="A268">
            <v>372001</v>
          </cell>
          <cell r="B268" t="str">
            <v>Pasajes terrestres</v>
          </cell>
          <cell r="C268" t="str">
            <v>S</v>
          </cell>
        </row>
        <row r="269">
          <cell r="A269">
            <v>373000</v>
          </cell>
          <cell r="B269" t="str">
            <v>Pasajes marítimos, lacustres y fluviales</v>
          </cell>
          <cell r="C269" t="str">
            <v>N</v>
          </cell>
        </row>
        <row r="270">
          <cell r="A270">
            <v>373001</v>
          </cell>
          <cell r="B270" t="str">
            <v>Pasajes marítimos</v>
          </cell>
          <cell r="C270" t="str">
            <v>S</v>
          </cell>
        </row>
        <row r="271">
          <cell r="A271">
            <v>374000</v>
          </cell>
          <cell r="B271" t="str">
            <v>Autotransporte</v>
          </cell>
          <cell r="C271" t="str">
            <v>N</v>
          </cell>
        </row>
        <row r="272">
          <cell r="A272">
            <v>374001</v>
          </cell>
          <cell r="B272" t="str">
            <v>Autotransporte</v>
          </cell>
          <cell r="C272" t="str">
            <v>S</v>
          </cell>
        </row>
        <row r="273">
          <cell r="A273">
            <v>375000</v>
          </cell>
          <cell r="B273" t="str">
            <v>Viáticos en el país</v>
          </cell>
          <cell r="C273" t="str">
            <v>N</v>
          </cell>
        </row>
        <row r="274">
          <cell r="A274">
            <v>375001</v>
          </cell>
          <cell r="B274" t="str">
            <v>Viáticos</v>
          </cell>
          <cell r="C274" t="str">
            <v>S</v>
          </cell>
        </row>
        <row r="275">
          <cell r="A275">
            <v>376000</v>
          </cell>
          <cell r="B275" t="str">
            <v>Viáticos en el extranjero</v>
          </cell>
          <cell r="C275" t="str">
            <v>N</v>
          </cell>
        </row>
        <row r="276">
          <cell r="A276">
            <v>376001</v>
          </cell>
          <cell r="B276" t="str">
            <v>Viáticos en el extranjero</v>
          </cell>
          <cell r="C276" t="str">
            <v>S</v>
          </cell>
        </row>
        <row r="277">
          <cell r="A277">
            <v>377000</v>
          </cell>
          <cell r="B277" t="str">
            <v>Gastos de instalación y traslado de menaje</v>
          </cell>
          <cell r="C277" t="str">
            <v>N</v>
          </cell>
        </row>
        <row r="278">
          <cell r="A278">
            <v>377001</v>
          </cell>
          <cell r="B278" t="str">
            <v>Gastos de instalación y traslado de menaje</v>
          </cell>
          <cell r="C278" t="str">
            <v>S</v>
          </cell>
        </row>
        <row r="279">
          <cell r="A279">
            <v>378000</v>
          </cell>
          <cell r="B279" t="str">
            <v>Servicios integrales de traslado y viáticos</v>
          </cell>
          <cell r="C279" t="str">
            <v>N</v>
          </cell>
        </row>
        <row r="280">
          <cell r="A280">
            <v>378001</v>
          </cell>
          <cell r="B280" t="str">
            <v>Diligencias judiciales</v>
          </cell>
          <cell r="C280" t="str">
            <v>S</v>
          </cell>
        </row>
        <row r="281">
          <cell r="A281">
            <v>379000</v>
          </cell>
          <cell r="B281" t="str">
            <v>Otros servicios de traslado y hospedaje</v>
          </cell>
          <cell r="C281" t="str">
            <v>N</v>
          </cell>
        </row>
        <row r="282">
          <cell r="A282">
            <v>379001</v>
          </cell>
          <cell r="B282" t="str">
            <v>Traslado de vehículos</v>
          </cell>
          <cell r="C282" t="str">
            <v>S</v>
          </cell>
        </row>
        <row r="283">
          <cell r="A283">
            <v>379002</v>
          </cell>
          <cell r="B283" t="str">
            <v>Gastos de traslado de personas</v>
          </cell>
          <cell r="C283" t="str">
            <v>S</v>
          </cell>
        </row>
        <row r="284">
          <cell r="A284">
            <v>379003</v>
          </cell>
          <cell r="B284" t="str">
            <v>Hospedaje de personas</v>
          </cell>
          <cell r="C284" t="str">
            <v>S</v>
          </cell>
        </row>
        <row r="285">
          <cell r="A285">
            <v>380000</v>
          </cell>
          <cell r="B285" t="str">
            <v>SERVICIOS OFICIALES</v>
          </cell>
          <cell r="C285" t="str">
            <v>N</v>
          </cell>
        </row>
        <row r="286">
          <cell r="A286">
            <v>381000</v>
          </cell>
          <cell r="B286" t="str">
            <v>Gastos de ceremonial</v>
          </cell>
          <cell r="C286" t="str">
            <v>N</v>
          </cell>
        </row>
        <row r="287">
          <cell r="A287">
            <v>381001</v>
          </cell>
          <cell r="B287" t="str">
            <v>Atención a personalidades nacionales y extranjeras</v>
          </cell>
          <cell r="C287" t="str">
            <v>S</v>
          </cell>
        </row>
        <row r="288">
          <cell r="A288">
            <v>382000</v>
          </cell>
          <cell r="B288" t="str">
            <v>Gastos de orden social y cultural</v>
          </cell>
          <cell r="C288" t="str">
            <v>N</v>
          </cell>
        </row>
        <row r="289">
          <cell r="A289">
            <v>382001</v>
          </cell>
          <cell r="B289" t="str">
            <v>Espectáculos y actividades culturales</v>
          </cell>
          <cell r="C289" t="str">
            <v>S</v>
          </cell>
        </row>
        <row r="290">
          <cell r="A290">
            <v>382002</v>
          </cell>
          <cell r="B290" t="str">
            <v>Gastos de recepción, conmemorativos y de orden social</v>
          </cell>
          <cell r="C290" t="str">
            <v>S</v>
          </cell>
        </row>
        <row r="291">
          <cell r="A291">
            <v>382003</v>
          </cell>
          <cell r="B291" t="str">
            <v>Adaptaciones para eventos sociales y culturales</v>
          </cell>
          <cell r="C291" t="str">
            <v>S</v>
          </cell>
        </row>
        <row r="292">
          <cell r="A292">
            <v>382004</v>
          </cell>
          <cell r="B292" t="str">
            <v>Festividades y Eventos</v>
          </cell>
          <cell r="C292" t="str">
            <v>S</v>
          </cell>
        </row>
        <row r="293">
          <cell r="A293">
            <v>383000</v>
          </cell>
          <cell r="B293" t="str">
            <v>Congresos y convenciones</v>
          </cell>
          <cell r="C293" t="str">
            <v>N</v>
          </cell>
        </row>
        <row r="294">
          <cell r="A294">
            <v>383001</v>
          </cell>
          <cell r="B294" t="str">
            <v>Congresos y convenciones</v>
          </cell>
          <cell r="C294" t="str">
            <v>S</v>
          </cell>
        </row>
        <row r="295">
          <cell r="A295">
            <v>384000</v>
          </cell>
          <cell r="B295" t="str">
            <v>Exposiciones</v>
          </cell>
          <cell r="C295" t="str">
            <v>N</v>
          </cell>
        </row>
        <row r="296">
          <cell r="A296">
            <v>384001</v>
          </cell>
          <cell r="B296" t="str">
            <v>Exposiciones</v>
          </cell>
          <cell r="C296" t="str">
            <v>S</v>
          </cell>
        </row>
        <row r="297">
          <cell r="A297">
            <v>385000</v>
          </cell>
          <cell r="B297" t="str">
            <v>Gastos de representación</v>
          </cell>
          <cell r="C297" t="str">
            <v>N</v>
          </cell>
        </row>
        <row r="298">
          <cell r="A298">
            <v>385001</v>
          </cell>
          <cell r="B298" t="str">
            <v>Gastos de representación</v>
          </cell>
          <cell r="C298" t="str">
            <v>S</v>
          </cell>
        </row>
        <row r="299">
          <cell r="A299">
            <v>390000</v>
          </cell>
          <cell r="B299" t="str">
            <v>OTROS SERVICIOS GENERALES</v>
          </cell>
          <cell r="C299" t="str">
            <v>N</v>
          </cell>
        </row>
        <row r="300">
          <cell r="A300">
            <v>391000</v>
          </cell>
          <cell r="B300" t="str">
            <v>Servicios funerarios y de cementerios</v>
          </cell>
          <cell r="C300" t="str">
            <v>N</v>
          </cell>
        </row>
        <row r="301">
          <cell r="A301">
            <v>391001</v>
          </cell>
          <cell r="B301" t="str">
            <v>Servicios funerarios y de cementerios</v>
          </cell>
          <cell r="C301" t="str">
            <v>S</v>
          </cell>
        </row>
        <row r="302">
          <cell r="A302">
            <v>392000</v>
          </cell>
          <cell r="B302" t="str">
            <v>Impuestos y derechos</v>
          </cell>
          <cell r="C302" t="str">
            <v>N</v>
          </cell>
        </row>
        <row r="303">
          <cell r="A303">
            <v>392001</v>
          </cell>
          <cell r="B303" t="str">
            <v>Impuestos y derechos</v>
          </cell>
          <cell r="C303" t="str">
            <v>S</v>
          </cell>
        </row>
        <row r="304">
          <cell r="A304">
            <v>393000</v>
          </cell>
          <cell r="B304" t="str">
            <v>Impuestos y derechos de importación</v>
          </cell>
          <cell r="C304" t="str">
            <v>N</v>
          </cell>
        </row>
        <row r="305">
          <cell r="A305">
            <v>393001</v>
          </cell>
          <cell r="B305" t="str">
            <v>Impuestos y derechos de importación</v>
          </cell>
          <cell r="C305" t="str">
            <v>S</v>
          </cell>
        </row>
        <row r="306">
          <cell r="A306">
            <v>394000</v>
          </cell>
          <cell r="B306" t="str">
            <v>Sentencias y resoluciones judiciales</v>
          </cell>
          <cell r="C306" t="str">
            <v>N</v>
          </cell>
        </row>
        <row r="307">
          <cell r="A307">
            <v>394001</v>
          </cell>
          <cell r="B307" t="str">
            <v>Sentencias y resoluciones judiciales</v>
          </cell>
          <cell r="C307" t="str">
            <v>S</v>
          </cell>
        </row>
        <row r="308">
          <cell r="A308">
            <v>395000</v>
          </cell>
          <cell r="B308" t="str">
            <v>Penas, multas, accesorios y actualizaciones</v>
          </cell>
          <cell r="C308" t="str">
            <v>N</v>
          </cell>
        </row>
        <row r="309">
          <cell r="A309">
            <v>395001</v>
          </cell>
          <cell r="B309" t="str">
            <v>Penas, multas, accesorios y actualizaciones</v>
          </cell>
          <cell r="C309" t="str">
            <v>S</v>
          </cell>
        </row>
        <row r="310">
          <cell r="A310">
            <v>396000</v>
          </cell>
          <cell r="B310" t="str">
            <v>Otros gastos por responsabilidades</v>
          </cell>
          <cell r="C310" t="str">
            <v>N</v>
          </cell>
        </row>
        <row r="311">
          <cell r="A311">
            <v>396001</v>
          </cell>
          <cell r="B311" t="str">
            <v>Otros gastos por responsabilidades</v>
          </cell>
          <cell r="C311" t="str">
            <v>S</v>
          </cell>
        </row>
        <row r="312">
          <cell r="A312">
            <v>399000</v>
          </cell>
          <cell r="B312" t="str">
            <v>Otros servicios generales</v>
          </cell>
          <cell r="C312" t="str">
            <v>N</v>
          </cell>
        </row>
        <row r="313">
          <cell r="A313">
            <v>399001</v>
          </cell>
          <cell r="B313" t="str">
            <v>Gastos menores</v>
          </cell>
          <cell r="C313" t="str">
            <v>S</v>
          </cell>
        </row>
        <row r="314">
          <cell r="A314">
            <v>399002</v>
          </cell>
          <cell r="B314" t="str">
            <v>Retribuciones a reos</v>
          </cell>
          <cell r="C314" t="str">
            <v>S</v>
          </cell>
        </row>
        <row r="315">
          <cell r="A315">
            <v>399003</v>
          </cell>
          <cell r="B315" t="str">
            <v>Otros servicios de la administración pública</v>
          </cell>
          <cell r="C315" t="str">
            <v>S</v>
          </cell>
        </row>
        <row r="316">
          <cell r="A316">
            <v>399004</v>
          </cell>
          <cell r="B316" t="str">
            <v>Previsión Arrendamientos</v>
          </cell>
          <cell r="C316" t="str">
            <v>Prev</v>
          </cell>
        </row>
        <row r="317">
          <cell r="A317">
            <v>500000</v>
          </cell>
          <cell r="B317" t="str">
            <v>BIENES MUEBLES, INMUEBLES E INTANGIBLES</v>
          </cell>
          <cell r="C317" t="str">
            <v>N</v>
          </cell>
        </row>
        <row r="318">
          <cell r="A318">
            <v>510000</v>
          </cell>
          <cell r="B318" t="str">
            <v>MOBILIARIO Y EQUIPO DE ADMINISTRACIÓN</v>
          </cell>
          <cell r="C318" t="str">
            <v>N</v>
          </cell>
        </row>
        <row r="319">
          <cell r="A319">
            <v>511000</v>
          </cell>
          <cell r="B319" t="str">
            <v>Muebles de oficina y estantería</v>
          </cell>
          <cell r="C319" t="str">
            <v>N</v>
          </cell>
        </row>
        <row r="320">
          <cell r="A320">
            <v>511001</v>
          </cell>
          <cell r="B320" t="str">
            <v>Mobiliario</v>
          </cell>
          <cell r="C320" t="str">
            <v>S</v>
          </cell>
        </row>
        <row r="321">
          <cell r="A321">
            <v>512000</v>
          </cell>
          <cell r="B321" t="str">
            <v>Muebles, excepto de oficina y estantería</v>
          </cell>
          <cell r="C321" t="str">
            <v>N</v>
          </cell>
        </row>
        <row r="322">
          <cell r="A322">
            <v>512001</v>
          </cell>
          <cell r="B322" t="str">
            <v>Muebles, excepto de oficina y estantería</v>
          </cell>
          <cell r="C322" t="str">
            <v>S</v>
          </cell>
        </row>
        <row r="323">
          <cell r="A323">
            <v>513000</v>
          </cell>
          <cell r="B323" t="str">
            <v>Bienes artísticos, culturales y científicos</v>
          </cell>
          <cell r="C323" t="str">
            <v>N</v>
          </cell>
        </row>
        <row r="324">
          <cell r="A324">
            <v>513001</v>
          </cell>
          <cell r="B324" t="str">
            <v>Bienes artísticos y culturales</v>
          </cell>
          <cell r="C324" t="str">
            <v>S</v>
          </cell>
        </row>
        <row r="325">
          <cell r="A325">
            <v>514000</v>
          </cell>
          <cell r="B325" t="str">
            <v>Objetos de valor</v>
          </cell>
          <cell r="C325" t="str">
            <v>N</v>
          </cell>
        </row>
        <row r="326">
          <cell r="A326">
            <v>514001</v>
          </cell>
          <cell r="B326" t="str">
            <v>Objetos de valor</v>
          </cell>
          <cell r="C326" t="str">
            <v>S</v>
          </cell>
        </row>
        <row r="327">
          <cell r="A327">
            <v>515000</v>
          </cell>
          <cell r="B327" t="str">
            <v>Equipo de cómputo y de tecnologías de la información</v>
          </cell>
          <cell r="C327" t="str">
            <v>N</v>
          </cell>
        </row>
        <row r="328">
          <cell r="A328">
            <v>515001</v>
          </cell>
          <cell r="B328" t="str">
            <v>Equipo de administración</v>
          </cell>
          <cell r="C328" t="str">
            <v>S</v>
          </cell>
        </row>
        <row r="329">
          <cell r="A329">
            <v>515002</v>
          </cell>
          <cell r="B329" t="str">
            <v>Equipo de Cómputo y Aparatos de Uso Informático</v>
          </cell>
          <cell r="C329" t="str">
            <v>S</v>
          </cell>
        </row>
        <row r="330">
          <cell r="A330">
            <v>515003</v>
          </cell>
          <cell r="B330" t="str">
            <v>Sistemas de Rastreo Satelital (GPS)</v>
          </cell>
          <cell r="C330" t="str">
            <v>S</v>
          </cell>
        </row>
        <row r="331">
          <cell r="A331">
            <v>519000</v>
          </cell>
          <cell r="B331" t="str">
            <v>Otros mobiliarios y equipos de administración</v>
          </cell>
          <cell r="C331" t="str">
            <v>N</v>
          </cell>
        </row>
        <row r="332">
          <cell r="A332">
            <v>519001</v>
          </cell>
          <cell r="B332" t="str">
            <v>Cámaras y Circuitos Cerrados de Seguridad</v>
          </cell>
          <cell r="C332" t="str">
            <v>S</v>
          </cell>
        </row>
        <row r="333">
          <cell r="A333">
            <v>519002</v>
          </cell>
          <cell r="B333" t="str">
            <v>Equipos de Audio</v>
          </cell>
          <cell r="C333" t="str">
            <v>S</v>
          </cell>
        </row>
        <row r="334">
          <cell r="A334">
            <v>519003</v>
          </cell>
          <cell r="B334" t="str">
            <v>Otras Herramientas, Mobiliarios y Eq. De Administración</v>
          </cell>
          <cell r="C334" t="str">
            <v>S</v>
          </cell>
        </row>
        <row r="335">
          <cell r="A335">
            <v>519004</v>
          </cell>
          <cell r="B335" t="str">
            <v>Aulas Móviles de Vigilancia</v>
          </cell>
          <cell r="C335" t="str">
            <v>S</v>
          </cell>
        </row>
        <row r="336">
          <cell r="A336">
            <v>520000</v>
          </cell>
          <cell r="B336" t="str">
            <v>MOBILIARIO Y EQUIPO EDUCACIONAL Y RECREATIVO</v>
          </cell>
          <cell r="C336" t="str">
            <v>N</v>
          </cell>
        </row>
        <row r="337">
          <cell r="A337">
            <v>521000</v>
          </cell>
          <cell r="B337" t="str">
            <v>Equipos y aparatos audiovisuales</v>
          </cell>
          <cell r="C337" t="str">
            <v>N</v>
          </cell>
        </row>
        <row r="338">
          <cell r="A338">
            <v>521001</v>
          </cell>
          <cell r="B338" t="str">
            <v>Equipo educacional y recreativo</v>
          </cell>
          <cell r="C338" t="str">
            <v>S</v>
          </cell>
        </row>
        <row r="339">
          <cell r="A339">
            <v>522000</v>
          </cell>
          <cell r="B339" t="str">
            <v>Aparatos deportivos</v>
          </cell>
          <cell r="C339" t="str">
            <v>N</v>
          </cell>
        </row>
        <row r="340">
          <cell r="A340">
            <v>522001</v>
          </cell>
          <cell r="B340" t="str">
            <v>Aparatos deportivos</v>
          </cell>
          <cell r="C340" t="str">
            <v>S</v>
          </cell>
        </row>
        <row r="341">
          <cell r="A341">
            <v>523000</v>
          </cell>
          <cell r="B341" t="str">
            <v>Cámaras fotográficas y de video</v>
          </cell>
          <cell r="C341" t="str">
            <v>N</v>
          </cell>
        </row>
        <row r="342">
          <cell r="A342">
            <v>523001</v>
          </cell>
          <cell r="B342" t="str">
            <v>Cámaras Fotográficas</v>
          </cell>
          <cell r="C342" t="str">
            <v>S</v>
          </cell>
        </row>
        <row r="343">
          <cell r="A343">
            <v>523002</v>
          </cell>
          <cell r="B343" t="str">
            <v>Cámaras de Video</v>
          </cell>
          <cell r="C343" t="str">
            <v>S</v>
          </cell>
        </row>
        <row r="344">
          <cell r="A344">
            <v>529000</v>
          </cell>
          <cell r="B344" t="str">
            <v>Otro mobiliario y equipo educacional y recreativo</v>
          </cell>
          <cell r="C344" t="str">
            <v>N</v>
          </cell>
        </row>
        <row r="345">
          <cell r="A345">
            <v>529001</v>
          </cell>
          <cell r="B345" t="str">
            <v>Instrumentos Musicales</v>
          </cell>
          <cell r="C345" t="str">
            <v>S</v>
          </cell>
        </row>
        <row r="346">
          <cell r="A346">
            <v>529002</v>
          </cell>
          <cell r="B346" t="str">
            <v>Equipo Educacional</v>
          </cell>
          <cell r="C346" t="str">
            <v>S</v>
          </cell>
        </row>
        <row r="347">
          <cell r="A347">
            <v>530000</v>
          </cell>
          <cell r="B347" t="str">
            <v>EQUIPO E INSTRUMENTAL MÉDICO Y DE LABORATORIO</v>
          </cell>
          <cell r="C347" t="str">
            <v>N</v>
          </cell>
        </row>
        <row r="348">
          <cell r="A348">
            <v>531000</v>
          </cell>
          <cell r="B348" t="str">
            <v>Equipo médico y de laboratorio</v>
          </cell>
          <cell r="C348" t="str">
            <v>N</v>
          </cell>
        </row>
        <row r="349">
          <cell r="A349">
            <v>531001</v>
          </cell>
          <cell r="B349" t="str">
            <v>Equipo e instrumental medico</v>
          </cell>
          <cell r="C349" t="str">
            <v>S</v>
          </cell>
        </row>
        <row r="350">
          <cell r="A350">
            <v>532000</v>
          </cell>
          <cell r="B350" t="str">
            <v>Instrumental médico y de laboratorio</v>
          </cell>
          <cell r="C350" t="str">
            <v>N</v>
          </cell>
        </row>
        <row r="351">
          <cell r="A351">
            <v>532001</v>
          </cell>
          <cell r="B351" t="str">
            <v>Instrumental médico y de laboratorio</v>
          </cell>
          <cell r="C351" t="str">
            <v>S</v>
          </cell>
        </row>
        <row r="352">
          <cell r="A352">
            <v>540000</v>
          </cell>
          <cell r="B352" t="str">
            <v>VEHÍCULOS Y EQUIPO DE TRANSPORTE</v>
          </cell>
          <cell r="C352" t="str">
            <v>N</v>
          </cell>
        </row>
        <row r="353">
          <cell r="A353">
            <v>541000</v>
          </cell>
          <cell r="B353" t="str">
            <v>Automóviles y camiones</v>
          </cell>
          <cell r="C353" t="str">
            <v>N</v>
          </cell>
        </row>
        <row r="354">
          <cell r="A354">
            <v>541001</v>
          </cell>
          <cell r="B354" t="str">
            <v>Vehículos y equipo terrestre</v>
          </cell>
          <cell r="C354" t="str">
            <v>S</v>
          </cell>
        </row>
        <row r="355">
          <cell r="A355">
            <v>542000</v>
          </cell>
          <cell r="B355" t="str">
            <v>Carrocerías y remolques</v>
          </cell>
          <cell r="C355" t="str">
            <v>N</v>
          </cell>
        </row>
        <row r="356">
          <cell r="A356">
            <v>542001</v>
          </cell>
          <cell r="B356" t="str">
            <v>Carrocerías y remolques</v>
          </cell>
          <cell r="C356" t="str">
            <v>S</v>
          </cell>
        </row>
        <row r="357">
          <cell r="A357">
            <v>543000</v>
          </cell>
          <cell r="B357" t="str">
            <v>Equipo aeroespacial</v>
          </cell>
          <cell r="C357" t="str">
            <v>N</v>
          </cell>
        </row>
        <row r="358">
          <cell r="A358">
            <v>543001</v>
          </cell>
          <cell r="B358" t="str">
            <v>Vehículos y equipo de transporte aéreo</v>
          </cell>
          <cell r="C358" t="str">
            <v>S</v>
          </cell>
        </row>
        <row r="359">
          <cell r="A359">
            <v>544000</v>
          </cell>
          <cell r="B359" t="str">
            <v>Equipo ferroviario</v>
          </cell>
          <cell r="C359" t="str">
            <v>N</v>
          </cell>
        </row>
        <row r="360">
          <cell r="A360">
            <v>544001</v>
          </cell>
          <cell r="B360" t="str">
            <v>Equipo ferroviario</v>
          </cell>
          <cell r="C360" t="str">
            <v>S</v>
          </cell>
        </row>
        <row r="361">
          <cell r="A361">
            <v>545000</v>
          </cell>
          <cell r="B361" t="str">
            <v>Embarcaciones</v>
          </cell>
          <cell r="C361" t="str">
            <v>N</v>
          </cell>
        </row>
        <row r="362">
          <cell r="A362">
            <v>545001</v>
          </cell>
          <cell r="B362" t="str">
            <v>Vehículos y equipo marino</v>
          </cell>
          <cell r="C362" t="str">
            <v>S</v>
          </cell>
        </row>
        <row r="363">
          <cell r="A363">
            <v>549000</v>
          </cell>
          <cell r="B363" t="str">
            <v>Otros Equipos de Transporte</v>
          </cell>
          <cell r="C363" t="str">
            <v>N</v>
          </cell>
        </row>
        <row r="364">
          <cell r="A364">
            <v>549001</v>
          </cell>
          <cell r="B364" t="str">
            <v>Otros equipos de transporte</v>
          </cell>
          <cell r="C364" t="str">
            <v>S</v>
          </cell>
        </row>
        <row r="365">
          <cell r="A365">
            <v>550000</v>
          </cell>
          <cell r="B365" t="str">
            <v>EQUIPO DE DEFENSA Y SEGURIDAD</v>
          </cell>
          <cell r="C365" t="str">
            <v>N</v>
          </cell>
        </row>
        <row r="366">
          <cell r="A366">
            <v>551000</v>
          </cell>
          <cell r="B366" t="str">
            <v>Equipo de defensa y seguridad</v>
          </cell>
          <cell r="C366" t="str">
            <v>N</v>
          </cell>
        </row>
        <row r="367">
          <cell r="A367">
            <v>551001</v>
          </cell>
          <cell r="B367" t="str">
            <v>Equipo de defensa y seguridad pública</v>
          </cell>
          <cell r="C367" t="str">
            <v>S</v>
          </cell>
        </row>
        <row r="368">
          <cell r="A368">
            <v>560000</v>
          </cell>
          <cell r="B368" t="str">
            <v>MAQUINARIA, OTROS EQUIPOS Y HERRAMIENTAS</v>
          </cell>
          <cell r="C368" t="str">
            <v>N</v>
          </cell>
        </row>
        <row r="369">
          <cell r="A369">
            <v>561000</v>
          </cell>
          <cell r="B369" t="str">
            <v>Maquinaria y equipo agropecuario</v>
          </cell>
          <cell r="C369" t="str">
            <v>N</v>
          </cell>
        </row>
        <row r="370">
          <cell r="A370">
            <v>561001</v>
          </cell>
          <cell r="B370" t="str">
            <v>Maquinaria y equipo agropecuario, industrial y de construcción</v>
          </cell>
          <cell r="C370" t="str">
            <v>S</v>
          </cell>
        </row>
        <row r="371">
          <cell r="A371">
            <v>562000</v>
          </cell>
          <cell r="B371" t="str">
            <v>Maquinaria y equipo industrial</v>
          </cell>
          <cell r="C371" t="str">
            <v>N</v>
          </cell>
        </row>
        <row r="372">
          <cell r="A372">
            <v>562001</v>
          </cell>
          <cell r="B372" t="str">
            <v>Bombas Industriales</v>
          </cell>
          <cell r="C372" t="str">
            <v>S</v>
          </cell>
        </row>
        <row r="373">
          <cell r="A373">
            <v>563000</v>
          </cell>
          <cell r="B373" t="str">
            <v>Maquinaria y equipo de construcción</v>
          </cell>
          <cell r="C373" t="str">
            <v>N</v>
          </cell>
        </row>
        <row r="374">
          <cell r="A374">
            <v>563001</v>
          </cell>
          <cell r="B374" t="str">
            <v>Maquinaria y equipo de construcción</v>
          </cell>
          <cell r="C374" t="str">
            <v>S</v>
          </cell>
        </row>
        <row r="375">
          <cell r="A375">
            <v>564000</v>
          </cell>
          <cell r="B375" t="str">
            <v>Sistemas de aire acondicionado, calefacción y de refrigeración industrial y comercial</v>
          </cell>
          <cell r="C375" t="str">
            <v>N</v>
          </cell>
        </row>
        <row r="376">
          <cell r="A376">
            <v>564001</v>
          </cell>
          <cell r="B376" t="str">
            <v>Sistemas de aire acondicionado, calefacción y de refrigeración industrial y comercial</v>
          </cell>
          <cell r="C376" t="str">
            <v>S</v>
          </cell>
        </row>
        <row r="377">
          <cell r="A377">
            <v>565000</v>
          </cell>
          <cell r="B377" t="str">
            <v>Equipo de comunicación y telecomunicación</v>
          </cell>
          <cell r="C377" t="str">
            <v>N</v>
          </cell>
        </row>
        <row r="378">
          <cell r="A378">
            <v>565001</v>
          </cell>
          <cell r="B378" t="str">
            <v>Maq. y equipo de telecomunicaciones, eléctrica y electrónica</v>
          </cell>
          <cell r="C378" t="str">
            <v>S</v>
          </cell>
        </row>
        <row r="379">
          <cell r="A379">
            <v>566000</v>
          </cell>
          <cell r="B379" t="str">
            <v>Equipos de generación eléctrica, aparatos y accesorios eléctricos</v>
          </cell>
          <cell r="C379" t="str">
            <v>N</v>
          </cell>
        </row>
        <row r="380">
          <cell r="A380">
            <v>566001</v>
          </cell>
          <cell r="B380" t="str">
            <v>Equipos de generación eléctrica</v>
          </cell>
          <cell r="C380" t="str">
            <v>S</v>
          </cell>
        </row>
        <row r="381">
          <cell r="A381">
            <v>566002</v>
          </cell>
          <cell r="B381" t="str">
            <v>Aparatos y Accesorios eléctricos</v>
          </cell>
          <cell r="C381" t="str">
            <v>S</v>
          </cell>
        </row>
        <row r="382">
          <cell r="A382">
            <v>567000</v>
          </cell>
          <cell r="B382" t="str">
            <v>Herramientas y máquinas-herramienta</v>
          </cell>
          <cell r="C382" t="str">
            <v>N</v>
          </cell>
        </row>
        <row r="383">
          <cell r="A383">
            <v>567001</v>
          </cell>
          <cell r="B383" t="str">
            <v>Herramientas y refacciones mayores</v>
          </cell>
          <cell r="C383" t="str">
            <v>S</v>
          </cell>
        </row>
        <row r="384">
          <cell r="A384">
            <v>569000</v>
          </cell>
          <cell r="B384" t="str">
            <v>Otros equipos</v>
          </cell>
          <cell r="C384" t="str">
            <v>N</v>
          </cell>
        </row>
        <row r="385">
          <cell r="A385">
            <v>569001</v>
          </cell>
          <cell r="B385" t="str">
            <v>Maquinaria y equipo diverso</v>
          </cell>
          <cell r="C385" t="str">
            <v>S</v>
          </cell>
        </row>
        <row r="386">
          <cell r="A386">
            <v>570000</v>
          </cell>
          <cell r="B386" t="str">
            <v>ACTIVOS BIOLÓGICOS</v>
          </cell>
          <cell r="C386" t="str">
            <v>N</v>
          </cell>
        </row>
        <row r="387">
          <cell r="A387">
            <v>571000</v>
          </cell>
          <cell r="B387" t="str">
            <v>Bovinos</v>
          </cell>
          <cell r="C387" t="str">
            <v>N</v>
          </cell>
        </row>
        <row r="388">
          <cell r="A388">
            <v>571001</v>
          </cell>
          <cell r="B388" t="str">
            <v>Bovinos</v>
          </cell>
          <cell r="C388" t="str">
            <v>S</v>
          </cell>
        </row>
        <row r="389">
          <cell r="A389">
            <v>572000</v>
          </cell>
          <cell r="B389" t="str">
            <v>Porcinos</v>
          </cell>
          <cell r="C389" t="str">
            <v>N</v>
          </cell>
        </row>
        <row r="390">
          <cell r="A390">
            <v>572001</v>
          </cell>
          <cell r="B390" t="str">
            <v>Porcinos</v>
          </cell>
          <cell r="C390" t="str">
            <v>S</v>
          </cell>
        </row>
        <row r="391">
          <cell r="A391">
            <v>573000</v>
          </cell>
          <cell r="B391" t="str">
            <v>Aves</v>
          </cell>
          <cell r="C391" t="str">
            <v>N</v>
          </cell>
        </row>
        <row r="392">
          <cell r="A392">
            <v>573001</v>
          </cell>
          <cell r="B392" t="str">
            <v>Aves</v>
          </cell>
          <cell r="C392" t="str">
            <v>S</v>
          </cell>
        </row>
        <row r="393">
          <cell r="A393">
            <v>574000</v>
          </cell>
          <cell r="B393" t="str">
            <v>Ovinos y caprinos</v>
          </cell>
          <cell r="C393" t="str">
            <v>N</v>
          </cell>
        </row>
        <row r="394">
          <cell r="A394">
            <v>574001</v>
          </cell>
          <cell r="B394" t="str">
            <v>Ovinos y caprinos</v>
          </cell>
          <cell r="C394" t="str">
            <v>S</v>
          </cell>
        </row>
        <row r="395">
          <cell r="A395">
            <v>575000</v>
          </cell>
          <cell r="B395" t="str">
            <v>Peces y acuicultura</v>
          </cell>
          <cell r="C395" t="str">
            <v>N</v>
          </cell>
        </row>
        <row r="396">
          <cell r="A396">
            <v>575001</v>
          </cell>
          <cell r="B396" t="str">
            <v>Peces y acuicultura</v>
          </cell>
          <cell r="C396" t="str">
            <v>S</v>
          </cell>
        </row>
        <row r="397">
          <cell r="A397">
            <v>576000</v>
          </cell>
          <cell r="B397" t="str">
            <v>Equinos</v>
          </cell>
          <cell r="C397" t="str">
            <v>N</v>
          </cell>
        </row>
        <row r="398">
          <cell r="A398">
            <v>576001</v>
          </cell>
          <cell r="B398" t="str">
            <v>Equinos</v>
          </cell>
          <cell r="C398" t="str">
            <v>S</v>
          </cell>
        </row>
        <row r="399">
          <cell r="A399">
            <v>577000</v>
          </cell>
          <cell r="B399" t="str">
            <v>Especies menores y de zoológico</v>
          </cell>
          <cell r="C399" t="str">
            <v>N</v>
          </cell>
        </row>
        <row r="400">
          <cell r="A400">
            <v>577001</v>
          </cell>
          <cell r="B400" t="str">
            <v>Especies menores y de zoológico</v>
          </cell>
          <cell r="C400" t="str">
            <v>S</v>
          </cell>
        </row>
        <row r="401">
          <cell r="A401">
            <v>578000</v>
          </cell>
          <cell r="B401" t="str">
            <v>Árboles y plantas</v>
          </cell>
          <cell r="C401" t="str">
            <v>N</v>
          </cell>
        </row>
        <row r="402">
          <cell r="A402">
            <v>578001</v>
          </cell>
          <cell r="B402" t="str">
            <v>Árboles y plantas</v>
          </cell>
          <cell r="C402" t="str">
            <v>S</v>
          </cell>
        </row>
        <row r="403">
          <cell r="A403">
            <v>579000</v>
          </cell>
          <cell r="B403" t="str">
            <v>Otros activos biológicos</v>
          </cell>
          <cell r="C403" t="str">
            <v>N</v>
          </cell>
        </row>
        <row r="404">
          <cell r="A404">
            <v>579001</v>
          </cell>
          <cell r="B404" t="str">
            <v>Otros activos biológicos</v>
          </cell>
          <cell r="C404" t="str">
            <v>S</v>
          </cell>
        </row>
        <row r="405">
          <cell r="A405">
            <v>580000</v>
          </cell>
          <cell r="B405" t="str">
            <v>BIENES INMUEBLES</v>
          </cell>
          <cell r="C405" t="str">
            <v>N</v>
          </cell>
        </row>
        <row r="406">
          <cell r="A406">
            <v>581000</v>
          </cell>
          <cell r="B406" t="str">
            <v>Terrenos</v>
          </cell>
          <cell r="C406" t="str">
            <v>N</v>
          </cell>
        </row>
        <row r="407">
          <cell r="A407">
            <v>581001</v>
          </cell>
          <cell r="B407" t="str">
            <v>Terrenos</v>
          </cell>
          <cell r="C407" t="str">
            <v>S</v>
          </cell>
        </row>
        <row r="408">
          <cell r="A408">
            <v>582000</v>
          </cell>
          <cell r="B408" t="str">
            <v>Viviendas</v>
          </cell>
          <cell r="C408" t="str">
            <v>N</v>
          </cell>
        </row>
        <row r="409">
          <cell r="A409">
            <v>582001</v>
          </cell>
          <cell r="B409" t="str">
            <v>Viviendas</v>
          </cell>
          <cell r="C409" t="str">
            <v>S</v>
          </cell>
        </row>
        <row r="410">
          <cell r="A410">
            <v>583000</v>
          </cell>
          <cell r="B410" t="str">
            <v>Edificios no residenciales</v>
          </cell>
          <cell r="C410" t="str">
            <v>N</v>
          </cell>
        </row>
        <row r="411">
          <cell r="A411">
            <v>583001</v>
          </cell>
          <cell r="B411" t="str">
            <v>Edificios y locales</v>
          </cell>
          <cell r="C411" t="str">
            <v>S</v>
          </cell>
        </row>
        <row r="412">
          <cell r="A412">
            <v>589000</v>
          </cell>
          <cell r="B412" t="str">
            <v>Otros bienes inmuebles</v>
          </cell>
          <cell r="C412" t="str">
            <v>N</v>
          </cell>
        </row>
        <row r="413">
          <cell r="A413">
            <v>589001</v>
          </cell>
          <cell r="B413" t="str">
            <v>Adjudicaciones, expropiaciones e indemnizaciones de inmuebles</v>
          </cell>
          <cell r="C413" t="str">
            <v>S</v>
          </cell>
        </row>
        <row r="414">
          <cell r="A414">
            <v>590000</v>
          </cell>
          <cell r="B414" t="str">
            <v>ACTIVOS INTANGIBLES</v>
          </cell>
          <cell r="C414" t="str">
            <v>N</v>
          </cell>
        </row>
        <row r="415">
          <cell r="A415">
            <v>591000</v>
          </cell>
          <cell r="B415" t="str">
            <v>Software</v>
          </cell>
          <cell r="C415" t="str">
            <v>N</v>
          </cell>
        </row>
        <row r="416">
          <cell r="A416">
            <v>591001</v>
          </cell>
          <cell r="B416" t="str">
            <v>Software</v>
          </cell>
          <cell r="C416" t="str">
            <v>S</v>
          </cell>
        </row>
        <row r="417">
          <cell r="A417">
            <v>592000</v>
          </cell>
          <cell r="B417" t="str">
            <v>Patentes</v>
          </cell>
          <cell r="C417" t="str">
            <v>N</v>
          </cell>
        </row>
        <row r="418">
          <cell r="A418">
            <v>592001</v>
          </cell>
          <cell r="B418" t="str">
            <v>Patentes</v>
          </cell>
          <cell r="C418" t="str">
            <v>S</v>
          </cell>
        </row>
        <row r="419">
          <cell r="A419">
            <v>593000</v>
          </cell>
          <cell r="B419" t="str">
            <v>Marcas</v>
          </cell>
          <cell r="C419" t="str">
            <v>N</v>
          </cell>
        </row>
        <row r="420">
          <cell r="A420">
            <v>593001</v>
          </cell>
          <cell r="B420" t="str">
            <v>Marcas</v>
          </cell>
          <cell r="C420" t="str">
            <v>S</v>
          </cell>
        </row>
        <row r="421">
          <cell r="A421">
            <v>594000</v>
          </cell>
          <cell r="B421" t="str">
            <v>Derechos</v>
          </cell>
          <cell r="C421" t="str">
            <v>N</v>
          </cell>
        </row>
        <row r="422">
          <cell r="A422">
            <v>594001</v>
          </cell>
          <cell r="B422" t="str">
            <v>Derechos</v>
          </cell>
          <cell r="C422" t="str">
            <v>S</v>
          </cell>
        </row>
        <row r="423">
          <cell r="A423">
            <v>595000</v>
          </cell>
          <cell r="B423" t="str">
            <v>Concesiones</v>
          </cell>
          <cell r="C423" t="str">
            <v>N</v>
          </cell>
        </row>
        <row r="424">
          <cell r="A424">
            <v>595001</v>
          </cell>
          <cell r="B424" t="str">
            <v>Concesiones</v>
          </cell>
          <cell r="C424" t="str">
            <v>S</v>
          </cell>
        </row>
        <row r="425">
          <cell r="A425">
            <v>596000</v>
          </cell>
          <cell r="B425" t="str">
            <v>Franquicias</v>
          </cell>
          <cell r="C425" t="str">
            <v>N</v>
          </cell>
        </row>
        <row r="426">
          <cell r="A426">
            <v>596001</v>
          </cell>
          <cell r="B426" t="str">
            <v>Franquicias</v>
          </cell>
          <cell r="C426" t="str">
            <v>S</v>
          </cell>
        </row>
        <row r="427">
          <cell r="A427">
            <v>597000</v>
          </cell>
          <cell r="B427" t="str">
            <v>Licencias informáticas e intelectuales</v>
          </cell>
          <cell r="C427" t="str">
            <v>N</v>
          </cell>
        </row>
        <row r="428">
          <cell r="A428">
            <v>597001</v>
          </cell>
          <cell r="B428" t="str">
            <v>Licencias para programas de antivirus</v>
          </cell>
          <cell r="C428" t="str">
            <v>S</v>
          </cell>
        </row>
        <row r="429">
          <cell r="A429">
            <v>597002</v>
          </cell>
          <cell r="B429" t="str">
            <v>Licencias Microsoft Windows server 2003 edición estándar</v>
          </cell>
          <cell r="C429" t="str">
            <v>S</v>
          </cell>
        </row>
        <row r="430">
          <cell r="A430">
            <v>598000</v>
          </cell>
          <cell r="B430" t="str">
            <v>Licencias industriales, comerciales y otras</v>
          </cell>
          <cell r="C430" t="str">
            <v>N</v>
          </cell>
        </row>
        <row r="431">
          <cell r="A431">
            <v>598001</v>
          </cell>
          <cell r="B431" t="str">
            <v>Licencias industriales, comerciales y otras</v>
          </cell>
          <cell r="C431" t="str">
            <v>S</v>
          </cell>
        </row>
        <row r="432">
          <cell r="A432">
            <v>599000</v>
          </cell>
          <cell r="B432" t="str">
            <v>Otros activos intangibles</v>
          </cell>
          <cell r="C432" t="str">
            <v>N</v>
          </cell>
        </row>
        <row r="433">
          <cell r="A433">
            <v>599001</v>
          </cell>
          <cell r="B433" t="str">
            <v>Otros activos intangibles</v>
          </cell>
          <cell r="C433" t="str">
            <v>S</v>
          </cell>
        </row>
      </sheetData>
      <sheetData sheetId="5">
        <row r="1">
          <cell r="A1" t="str">
            <v>NOMENCLATURA</v>
          </cell>
          <cell r="B1" t="str">
            <v>DESCRPCION</v>
          </cell>
          <cell r="C1"/>
          <cell r="D1"/>
        </row>
        <row r="2">
          <cell r="A2">
            <v>100</v>
          </cell>
          <cell r="B2" t="str">
            <v>INGRESOS PROPIOS Y APROVECHAMIENTOS</v>
          </cell>
          <cell r="C2"/>
          <cell r="D2"/>
        </row>
        <row r="3">
          <cell r="A3">
            <v>101</v>
          </cell>
          <cell r="B3" t="str">
            <v>INGRESOS PROPIOS (IMPUESTOS, DERECHOS, PRODUCTOS Y APROVECHAMIENTOS)</v>
          </cell>
          <cell r="C3"/>
          <cell r="D3"/>
        </row>
        <row r="4">
          <cell r="A4">
            <v>102</v>
          </cell>
          <cell r="B4" t="str">
            <v>INGRESOS PROPIOS</v>
          </cell>
          <cell r="C4"/>
          <cell r="D4"/>
        </row>
        <row r="5">
          <cell r="A5">
            <v>103</v>
          </cell>
          <cell r="B5" t="str">
            <v>INGRESOS PROPIOS APORTACIONES MUNICIPALES</v>
          </cell>
          <cell r="C5"/>
          <cell r="D5"/>
        </row>
        <row r="6">
          <cell r="A6">
            <v>104</v>
          </cell>
          <cell r="B6" t="str">
            <v>APROVECHAMIENTO POR EL USO DE LA I NFRAESTRUCTURA ESTATAL</v>
          </cell>
          <cell r="C6"/>
          <cell r="D6"/>
        </row>
        <row r="7">
          <cell r="A7">
            <v>110</v>
          </cell>
          <cell r="B7" t="str">
            <v>RECURSO F.O.I.S.</v>
          </cell>
          <cell r="C7"/>
          <cell r="D7"/>
        </row>
        <row r="8">
          <cell r="A8">
            <v>111</v>
          </cell>
          <cell r="B8" t="str">
            <v>RECURSO A.P.I.</v>
          </cell>
          <cell r="C8"/>
          <cell r="D8"/>
        </row>
        <row r="9">
          <cell r="A9">
            <v>130</v>
          </cell>
          <cell r="B9" t="str">
            <v>Reintegro con Ingresos Propios Ramo 28</v>
          </cell>
          <cell r="C9"/>
          <cell r="D9"/>
        </row>
        <row r="10">
          <cell r="A10">
            <v>136</v>
          </cell>
          <cell r="B10" t="str">
            <v>Reintegro con Ingresos Propios FONE</v>
          </cell>
          <cell r="C10"/>
          <cell r="D10"/>
        </row>
        <row r="11">
          <cell r="A11">
            <v>137</v>
          </cell>
          <cell r="B11" t="str">
            <v>Reintegro con Ingresos Propios FASSA</v>
          </cell>
          <cell r="C11"/>
          <cell r="D11"/>
        </row>
        <row r="12">
          <cell r="A12">
            <v>138</v>
          </cell>
          <cell r="B12" t="str">
            <v>Reintegro con Ingresos Propios FAIS/FISE</v>
          </cell>
          <cell r="C12"/>
          <cell r="D12"/>
        </row>
        <row r="13">
          <cell r="A13">
            <v>139</v>
          </cell>
          <cell r="B13" t="str">
            <v>Reintegro con Ingresos Propios FAIS/FISM</v>
          </cell>
          <cell r="C13"/>
          <cell r="D13"/>
        </row>
        <row r="14">
          <cell r="A14">
            <v>140</v>
          </cell>
          <cell r="B14" t="str">
            <v>Reintegro con Ingresos Propios FORTAMUN</v>
          </cell>
          <cell r="C14"/>
          <cell r="D14"/>
        </row>
        <row r="15">
          <cell r="A15">
            <v>141</v>
          </cell>
          <cell r="B15" t="str">
            <v>Reintegro con Ingresos Propios FAM/Asistencia Social</v>
          </cell>
          <cell r="C15"/>
          <cell r="D15"/>
        </row>
        <row r="16">
          <cell r="A16">
            <v>142</v>
          </cell>
          <cell r="B16" t="str">
            <v>Reintegro con Ingresos Propios FAM/Infraest. Educación Básica</v>
          </cell>
          <cell r="C16"/>
          <cell r="D16"/>
        </row>
        <row r="17">
          <cell r="A17">
            <v>143</v>
          </cell>
          <cell r="B17" t="str">
            <v>Reintegro con Ingresos Propios FAM/ Infraest. Educación Media Superior y Superior</v>
          </cell>
          <cell r="C17"/>
          <cell r="D17"/>
        </row>
        <row r="18">
          <cell r="A18">
            <v>145</v>
          </cell>
          <cell r="B18" t="str">
            <v>Reintegro con Ingresos Propios FAETA/Educ. Tecnológica (CONALEP)</v>
          </cell>
          <cell r="C18"/>
          <cell r="D18"/>
        </row>
        <row r="19">
          <cell r="A19">
            <v>146</v>
          </cell>
          <cell r="B19" t="str">
            <v>Reintegro con Ingresos Propios FAETA Educ. Adultos (IEEA)</v>
          </cell>
          <cell r="C19"/>
          <cell r="D19"/>
        </row>
        <row r="20">
          <cell r="A20">
            <v>147</v>
          </cell>
          <cell r="B20" t="str">
            <v>Reintegro con Ingresos Propios FASP</v>
          </cell>
          <cell r="C20"/>
          <cell r="D20"/>
        </row>
        <row r="21">
          <cell r="A21">
            <v>148</v>
          </cell>
          <cell r="B21" t="str">
            <v>Reintegro con Ingresos Propios FAFEF</v>
          </cell>
          <cell r="C21"/>
          <cell r="D21"/>
        </row>
        <row r="22">
          <cell r="A22">
            <v>149</v>
          </cell>
          <cell r="B22" t="str">
            <v>Reintegro con Ingresos Propios SEDATU</v>
          </cell>
          <cell r="C22"/>
          <cell r="D22"/>
        </row>
        <row r="23">
          <cell r="A23">
            <v>161</v>
          </cell>
          <cell r="B23" t="str">
            <v>Reintegro con Ingresos Propios CULTURA Ramo 48</v>
          </cell>
          <cell r="C23"/>
          <cell r="D23"/>
        </row>
        <row r="24">
          <cell r="A24">
            <v>162</v>
          </cell>
          <cell r="B24" t="str">
            <v>Reintegro con Ingresos Propios UABCS</v>
          </cell>
          <cell r="C24"/>
          <cell r="D24"/>
        </row>
        <row r="25">
          <cell r="A25">
            <v>163</v>
          </cell>
          <cell r="B25" t="str">
            <v>Reintegro con Ingresos Propios CONAGUA</v>
          </cell>
          <cell r="C25"/>
          <cell r="D25"/>
        </row>
        <row r="26">
          <cell r="A26">
            <v>164</v>
          </cell>
          <cell r="B26" t="str">
            <v>Reintegro con Ingresos Propios SEGOB</v>
          </cell>
          <cell r="C26"/>
          <cell r="D26"/>
        </row>
        <row r="27">
          <cell r="A27">
            <v>165</v>
          </cell>
          <cell r="B27" t="str">
            <v>Reintegro con Ingresos Propios SECTUR</v>
          </cell>
          <cell r="C27"/>
          <cell r="D27"/>
        </row>
        <row r="28">
          <cell r="A28">
            <v>166</v>
          </cell>
          <cell r="B28" t="str">
            <v>Reintegro con Ingresos Propios PROFIS</v>
          </cell>
          <cell r="C28"/>
          <cell r="D28"/>
        </row>
        <row r="29">
          <cell r="A29">
            <v>167</v>
          </cell>
          <cell r="B29" t="str">
            <v>Reintegro con Ingresos Propios SSP</v>
          </cell>
          <cell r="C29"/>
          <cell r="D29"/>
        </row>
        <row r="30">
          <cell r="A30">
            <v>168</v>
          </cell>
          <cell r="B30" t="str">
            <v>Reintegro con Ingresos Propios COBACH</v>
          </cell>
          <cell r="C30"/>
          <cell r="D30"/>
        </row>
        <row r="31">
          <cell r="A31">
            <v>169</v>
          </cell>
          <cell r="B31" t="str">
            <v>Reintegro con Ingresos Propios Fondo Proporcional Peso a Peso</v>
          </cell>
          <cell r="C31"/>
          <cell r="D31"/>
        </row>
        <row r="32">
          <cell r="A32">
            <v>170</v>
          </cell>
          <cell r="B32" t="str">
            <v>Reintegro con Ingresos Propios CECYTE</v>
          </cell>
          <cell r="C32"/>
          <cell r="D32"/>
        </row>
        <row r="33">
          <cell r="A33">
            <v>171</v>
          </cell>
          <cell r="B33" t="str">
            <v>Reintegro con Ingresos Propios Imp. Ref. Penal (SETEC)</v>
          </cell>
          <cell r="C33"/>
          <cell r="D33"/>
        </row>
        <row r="34">
          <cell r="A34">
            <v>172</v>
          </cell>
          <cell r="B34" t="str">
            <v>Reintegro con Ingresos Propios CONADE</v>
          </cell>
          <cell r="C34"/>
          <cell r="D34"/>
        </row>
        <row r="35">
          <cell r="A35">
            <v>173</v>
          </cell>
          <cell r="B35" t="str">
            <v>Reintegro con Ingresos Propios Conv. Salud (Ramo 12)</v>
          </cell>
          <cell r="C35"/>
          <cell r="D35"/>
        </row>
        <row r="36">
          <cell r="A36">
            <v>174</v>
          </cell>
          <cell r="B36" t="str">
            <v>Reintegro con Ingresos Propios Secretaría de Economía</v>
          </cell>
          <cell r="C36"/>
          <cell r="D36"/>
        </row>
        <row r="37">
          <cell r="A37">
            <v>177</v>
          </cell>
          <cell r="B37" t="str">
            <v>Reintegro con Ingresos Propios SUBSEMUN</v>
          </cell>
          <cell r="C37"/>
          <cell r="D37"/>
        </row>
        <row r="38">
          <cell r="A38">
            <v>178</v>
          </cell>
          <cell r="B38" t="str">
            <v>Reintegro con Ingresos Propios Fondo Para La Infraest. de los Estados</v>
          </cell>
          <cell r="C38"/>
          <cell r="D38"/>
        </row>
        <row r="39">
          <cell r="A39">
            <v>179</v>
          </cell>
          <cell r="B39" t="str">
            <v>Reintegro con Ingresos Propios Apoyo Financiero Ext. UABCS</v>
          </cell>
          <cell r="C39"/>
          <cell r="D39"/>
        </row>
        <row r="40">
          <cell r="A40">
            <v>180</v>
          </cell>
          <cell r="B40" t="str">
            <v>Reintegro con Ingresos Propios Apoyo Financiero Ext. ISIFE</v>
          </cell>
          <cell r="C40"/>
          <cell r="D40"/>
        </row>
        <row r="41">
          <cell r="A41">
            <v>181</v>
          </cell>
          <cell r="B41" t="str">
            <v>Reintegro con Ingresos Propios Subs. Policía Estatal Acreditable (SPA)</v>
          </cell>
          <cell r="C41"/>
          <cell r="D41"/>
        </row>
        <row r="42">
          <cell r="A42">
            <v>182</v>
          </cell>
          <cell r="B42" t="str">
            <v>Reintegro con Ingresos Propios PROASP</v>
          </cell>
          <cell r="C42"/>
          <cell r="D42"/>
        </row>
        <row r="43">
          <cell r="A43">
            <v>183</v>
          </cell>
          <cell r="B43" t="str">
            <v>Reintegro con Ingresos Propios Ingresos Extraordinarios</v>
          </cell>
          <cell r="C43"/>
          <cell r="D43"/>
        </row>
        <row r="44">
          <cell r="A44">
            <v>184</v>
          </cell>
          <cell r="B44" t="str">
            <v>Reintegro con Ingresos Propios Ingresos Derivados del 5 Al Millar (Obra)</v>
          </cell>
          <cell r="C44"/>
          <cell r="D44"/>
        </row>
        <row r="45">
          <cell r="A45">
            <v>185</v>
          </cell>
          <cell r="B45" t="str">
            <v>Reintegro con Ingresos Propios Ingresos Extraordinarios Ramo 23</v>
          </cell>
          <cell r="C45"/>
          <cell r="D45"/>
        </row>
        <row r="46">
          <cell r="A46">
            <v>186</v>
          </cell>
          <cell r="B46" t="str">
            <v>Reintegro con Ingresos Propios Ingresos Extraordinarios Ramo 21</v>
          </cell>
          <cell r="C46"/>
          <cell r="D46"/>
        </row>
        <row r="47">
          <cell r="A47">
            <v>187</v>
          </cell>
          <cell r="B47" t="str">
            <v>Reintegro con Ingresos Propios Ingresos Extraordinarios Sep. Ramo 11</v>
          </cell>
          <cell r="C47"/>
          <cell r="D47"/>
        </row>
        <row r="48">
          <cell r="A48">
            <v>188</v>
          </cell>
          <cell r="B48" t="str">
            <v>Reintegro con Ingresos Propios Ingresos Ext. Ramo 09 (SCT)</v>
          </cell>
          <cell r="C48"/>
          <cell r="D48"/>
        </row>
        <row r="49">
          <cell r="A49">
            <v>189</v>
          </cell>
          <cell r="B49" t="str">
            <v>Reintegro con Ingresos Propios Ingresos Ext. Ramo 16 (SEMARNAT)</v>
          </cell>
          <cell r="C49"/>
          <cell r="D49"/>
        </row>
        <row r="50">
          <cell r="A50">
            <v>201</v>
          </cell>
          <cell r="B50" t="str">
            <v>BONO CUPÓN CERO</v>
          </cell>
          <cell r="C50"/>
          <cell r="D50"/>
        </row>
        <row r="51">
          <cell r="A51">
            <v>500</v>
          </cell>
          <cell r="B51" t="str">
            <v>RECURSOS FEDERALES</v>
          </cell>
          <cell r="C51"/>
          <cell r="D51"/>
        </row>
        <row r="52">
          <cell r="A52">
            <v>530</v>
          </cell>
          <cell r="B52" t="str">
            <v>PARTICIPACIONES Ramo 28</v>
          </cell>
          <cell r="C52"/>
          <cell r="D52"/>
        </row>
        <row r="53">
          <cell r="A53">
            <v>535</v>
          </cell>
          <cell r="B53" t="str">
            <v>INTERESES BANCARIOS PROYECTADOS, RECURSOS FEDERALES</v>
          </cell>
          <cell r="C53"/>
          <cell r="D53"/>
        </row>
        <row r="54">
          <cell r="A54">
            <v>536</v>
          </cell>
          <cell r="B54" t="str">
            <v>FONE Ramo 33</v>
          </cell>
          <cell r="C54"/>
          <cell r="D54"/>
        </row>
        <row r="55">
          <cell r="A55">
            <v>537</v>
          </cell>
          <cell r="B55" t="str">
            <v>FASSA Ramo 33</v>
          </cell>
          <cell r="C55"/>
          <cell r="D55"/>
        </row>
        <row r="56">
          <cell r="A56">
            <v>538</v>
          </cell>
          <cell r="B56" t="str">
            <v>FAIS/FISE Ramo 33</v>
          </cell>
          <cell r="C56"/>
          <cell r="D56"/>
        </row>
        <row r="57">
          <cell r="A57">
            <v>539</v>
          </cell>
          <cell r="B57" t="str">
            <v>FAIS/FISM Ramo 33</v>
          </cell>
          <cell r="C57"/>
          <cell r="D57"/>
        </row>
        <row r="58">
          <cell r="A58">
            <v>540</v>
          </cell>
          <cell r="B58" t="str">
            <v>FORTAMUN Ramo 33</v>
          </cell>
          <cell r="C58"/>
          <cell r="D58"/>
        </row>
        <row r="59">
          <cell r="A59">
            <v>541</v>
          </cell>
          <cell r="B59" t="str">
            <v>FAM/ASISTENCIA SOCIAL Ramo 33</v>
          </cell>
          <cell r="C59"/>
          <cell r="D59"/>
        </row>
        <row r="60">
          <cell r="A60">
            <v>542</v>
          </cell>
          <cell r="B60" t="str">
            <v>FAM/INFRAESTRUCTURA DE EDUCACIÓN BÁSICA Ramo 33</v>
          </cell>
          <cell r="C60"/>
          <cell r="D60"/>
        </row>
        <row r="61">
          <cell r="A61">
            <v>543</v>
          </cell>
          <cell r="B61" t="str">
            <v>FAM/EDUCACIÓN MEDIA SUPERIOR Y SUPERIOR Ramo 33</v>
          </cell>
          <cell r="C61"/>
          <cell r="D61"/>
        </row>
        <row r="62">
          <cell r="A62">
            <v>545</v>
          </cell>
          <cell r="B62" t="str">
            <v>FAETA/EDUCACIÓN TECNOLÓGICA ( CONALEP) Ramo 33</v>
          </cell>
          <cell r="C62"/>
          <cell r="D62"/>
        </row>
        <row r="63">
          <cell r="A63">
            <v>546</v>
          </cell>
          <cell r="B63" t="str">
            <v>FAETA/EDUCACIÓN ADULTOS (IEEA) Ramo 33</v>
          </cell>
          <cell r="C63"/>
          <cell r="D63"/>
        </row>
        <row r="64">
          <cell r="A64">
            <v>547</v>
          </cell>
          <cell r="B64" t="str">
            <v>FASP Ramo 33</v>
          </cell>
          <cell r="C64"/>
          <cell r="D64"/>
        </row>
        <row r="65">
          <cell r="A65">
            <v>548</v>
          </cell>
          <cell r="B65" t="str">
            <v>FAFEF Ramo 33</v>
          </cell>
          <cell r="C65"/>
          <cell r="D65"/>
        </row>
        <row r="66">
          <cell r="A66">
            <v>549</v>
          </cell>
          <cell r="B66" t="str">
            <v>SRIA. DE DES. AGRARIO TERRITORIAL Y URBANO (SEDATU) Ramo 15</v>
          </cell>
          <cell r="C66"/>
          <cell r="D66"/>
        </row>
        <row r="67">
          <cell r="A67">
            <v>561</v>
          </cell>
          <cell r="B67" t="str">
            <v>CULTURA FEDERAL Ramo 48</v>
          </cell>
          <cell r="C67"/>
          <cell r="D67"/>
        </row>
        <row r="68">
          <cell r="A68">
            <v>562</v>
          </cell>
          <cell r="B68" t="str">
            <v>UNIVERSIDAD AUTÓNOMA DE B.C.S. Ramo 11</v>
          </cell>
          <cell r="C68"/>
          <cell r="D68"/>
        </row>
        <row r="69">
          <cell r="A69">
            <v>563</v>
          </cell>
          <cell r="B69" t="str">
            <v>CONAGUA Ramo 16</v>
          </cell>
          <cell r="C69"/>
          <cell r="D69"/>
        </row>
        <row r="70">
          <cell r="A70">
            <v>564</v>
          </cell>
          <cell r="B70" t="str">
            <v>SECRETARÍA DE GOBERNACIÓN Ramo 04</v>
          </cell>
          <cell r="C70"/>
          <cell r="D70"/>
        </row>
        <row r="71">
          <cell r="A71">
            <v>565</v>
          </cell>
          <cell r="B71" t="str">
            <v>SECRETARÍA DE TURISMO Ramo 21</v>
          </cell>
          <cell r="C71"/>
          <cell r="D71"/>
        </row>
        <row r="72">
          <cell r="A72">
            <v>566</v>
          </cell>
          <cell r="B72" t="str">
            <v>PROFIS</v>
          </cell>
          <cell r="C72"/>
          <cell r="D72"/>
        </row>
        <row r="73">
          <cell r="A73">
            <v>567</v>
          </cell>
          <cell r="B73" t="str">
            <v>SECRETARÍA DE SEGURIDAD PÚBLICA</v>
          </cell>
          <cell r="C73"/>
          <cell r="D73"/>
        </row>
        <row r="74">
          <cell r="A74">
            <v>568</v>
          </cell>
          <cell r="B74" t="str">
            <v>COBACH Ramo 11</v>
          </cell>
          <cell r="C74"/>
          <cell r="D74"/>
        </row>
        <row r="75">
          <cell r="A75">
            <v>569</v>
          </cell>
          <cell r="B75" t="str">
            <v>FONDO PROPORCIONAL PESO A PESO</v>
          </cell>
          <cell r="C75"/>
          <cell r="D75"/>
        </row>
        <row r="76">
          <cell r="A76">
            <v>570</v>
          </cell>
          <cell r="B76" t="str">
            <v>CECYTE Ramo 11</v>
          </cell>
          <cell r="C76"/>
          <cell r="D76"/>
        </row>
        <row r="77">
          <cell r="A77">
            <v>571</v>
          </cell>
          <cell r="B77" t="str">
            <v>IMPLEMENTACIÓN DE LA REFORMA PENAL (SETEC)</v>
          </cell>
          <cell r="C77"/>
          <cell r="D77"/>
        </row>
        <row r="78">
          <cell r="A78">
            <v>572</v>
          </cell>
          <cell r="B78" t="str">
            <v>CONADE Ramo 11</v>
          </cell>
          <cell r="C78"/>
          <cell r="D78"/>
        </row>
        <row r="79">
          <cell r="A79">
            <v>573</v>
          </cell>
          <cell r="B79" t="str">
            <v>CONVENIOS Ramo 12</v>
          </cell>
          <cell r="C79"/>
          <cell r="D79"/>
        </row>
        <row r="80">
          <cell r="A80">
            <v>574</v>
          </cell>
          <cell r="B80" t="str">
            <v>SECRETARÍA DE ECONOMÍA Ramo 10</v>
          </cell>
          <cell r="C80"/>
          <cell r="D80"/>
        </row>
        <row r="81">
          <cell r="A81">
            <v>577</v>
          </cell>
          <cell r="B81" t="str">
            <v>SUBSIDIO SEGURIDAD PÚBLICA MUNICIPAL</v>
          </cell>
          <cell r="C81"/>
          <cell r="D81"/>
        </row>
        <row r="82">
          <cell r="A82">
            <v>578</v>
          </cell>
          <cell r="B82" t="str">
            <v>FIDEICOMISO PARA LA INFRAESTRUCTURA DE LOS ESTADOS Ramo 23</v>
          </cell>
          <cell r="C82"/>
          <cell r="D82"/>
        </row>
        <row r="83">
          <cell r="A83">
            <v>579</v>
          </cell>
          <cell r="B83" t="str">
            <v>APOYO FINANCIERO EXTRAORDINARIO UABCS Ramo 11</v>
          </cell>
          <cell r="C83"/>
          <cell r="D83"/>
        </row>
        <row r="84">
          <cell r="A84">
            <v>580</v>
          </cell>
          <cell r="B84" t="str">
            <v>APOYO FINANCIERO EXTRAORDINARIO ISIFE Ramo 11</v>
          </cell>
          <cell r="C84"/>
          <cell r="D84"/>
        </row>
        <row r="85">
          <cell r="A85">
            <v>581</v>
          </cell>
          <cell r="B85" t="str">
            <v>SUBSIDIO POLICÍA ESTATAL ACREDITABLE (SPA)</v>
          </cell>
          <cell r="C85"/>
          <cell r="D85"/>
        </row>
        <row r="86">
          <cell r="A86">
            <v>582</v>
          </cell>
          <cell r="B86" t="str">
            <v>PROASP PROG. DE ALCANCE NAL. EN MAT. DE SEG. PUB. Ramo 04</v>
          </cell>
          <cell r="C86"/>
          <cell r="D86"/>
        </row>
        <row r="87">
          <cell r="A87">
            <v>583</v>
          </cell>
          <cell r="B87" t="str">
            <v>INGRESOS EXTRAORDINARIOS</v>
          </cell>
          <cell r="C87"/>
          <cell r="D87"/>
        </row>
        <row r="88">
          <cell r="A88">
            <v>584</v>
          </cell>
          <cell r="B88" t="str">
            <v>INGRESOS DERIVADOS DEL 5 AL MILLAR (OBRA)</v>
          </cell>
          <cell r="C88"/>
          <cell r="D88"/>
        </row>
        <row r="89">
          <cell r="A89">
            <v>585</v>
          </cell>
          <cell r="B89" t="str">
            <v>INGRESOS EXT Ramo 23 ( Provisiones Salariales y Económicas )</v>
          </cell>
          <cell r="C89"/>
          <cell r="D89"/>
        </row>
        <row r="90">
          <cell r="A90">
            <v>586</v>
          </cell>
          <cell r="B90" t="str">
            <v>INGRESOS EXT Ramo 21 (TURISMO)</v>
          </cell>
          <cell r="C90"/>
          <cell r="D90"/>
        </row>
        <row r="91">
          <cell r="A91">
            <v>587</v>
          </cell>
          <cell r="B91" t="str">
            <v>INGRESOS EXT Ramo 11 (SEP)</v>
          </cell>
          <cell r="C91"/>
          <cell r="D91"/>
        </row>
        <row r="92">
          <cell r="A92">
            <v>588</v>
          </cell>
          <cell r="B92" t="str">
            <v>INGRESOS EXT Ramo 09 (SCT)</v>
          </cell>
          <cell r="C92"/>
          <cell r="D92"/>
        </row>
        <row r="93">
          <cell r="A93">
            <v>589</v>
          </cell>
          <cell r="B93" t="str">
            <v>INGRESOS EXT Ramo 16 (SEMARNAT)</v>
          </cell>
          <cell r="C93"/>
          <cell r="D93"/>
        </row>
        <row r="94">
          <cell r="A94">
            <v>590</v>
          </cell>
          <cell r="B94" t="str">
            <v>INGRESOS EXT FORTASEG Ramo 04 (GOBERNACIÓN)</v>
          </cell>
          <cell r="C94"/>
          <cell r="D94"/>
        </row>
        <row r="95">
          <cell r="A95">
            <v>591</v>
          </cell>
          <cell r="B95" t="str">
            <v>INGRESOS EXT Ramo 20 (BIENESTAR)</v>
          </cell>
          <cell r="C95"/>
          <cell r="D95"/>
        </row>
        <row r="96">
          <cell r="A96">
            <v>598</v>
          </cell>
          <cell r="B96" t="str">
            <v>REMANENTE FONE 2016</v>
          </cell>
          <cell r="C96"/>
          <cell r="D96"/>
        </row>
        <row r="97">
          <cell r="A97">
            <v>599</v>
          </cell>
          <cell r="B97" t="str">
            <v>REMANENTE FONE 2015</v>
          </cell>
          <cell r="C97"/>
          <cell r="D97"/>
        </row>
        <row r="98">
          <cell r="A98">
            <v>700</v>
          </cell>
          <cell r="B98" t="str">
            <v>OTROS RECURSOS</v>
          </cell>
          <cell r="C98"/>
          <cell r="D98"/>
        </row>
        <row r="99">
          <cell r="A99">
            <v>736</v>
          </cell>
          <cell r="B99" t="str">
            <v>RENDIMIENTOS FONE</v>
          </cell>
          <cell r="C99"/>
          <cell r="D99"/>
        </row>
        <row r="100">
          <cell r="A100">
            <v>737</v>
          </cell>
          <cell r="B100" t="str">
            <v>RENDIMIENTOS FAM</v>
          </cell>
          <cell r="C100"/>
          <cell r="D100"/>
        </row>
        <row r="101">
          <cell r="A101">
            <v>747</v>
          </cell>
          <cell r="B101" t="str">
            <v>RENDIMIENTOS FASP</v>
          </cell>
          <cell r="C101"/>
          <cell r="D101"/>
        </row>
        <row r="102">
          <cell r="A102">
            <v>783</v>
          </cell>
          <cell r="B102" t="str">
            <v>INGRESOS EXTRAORDINARIOS (OTROS)</v>
          </cell>
          <cell r="C102"/>
          <cell r="D102"/>
        </row>
      </sheetData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AS"/>
      <sheetName val="CAPITULO"/>
      <sheetName val="PARTIDA"/>
      <sheetName val="COG"/>
      <sheetName val="FF"/>
      <sheetName val="PROCED"/>
    </sheetNames>
    <sheetDataSet>
      <sheetData sheetId="0"/>
      <sheetData sheetId="1"/>
      <sheetData sheetId="2"/>
      <sheetData sheetId="3">
        <row r="1">
          <cell r="A1" t="str">
            <v>CUENTA</v>
          </cell>
          <cell r="B1" t="str">
            <v>CONCEPTO</v>
          </cell>
          <cell r="C1" t="str">
            <v>AFECTABLE/ NO
AFECTABLE</v>
          </cell>
        </row>
        <row r="2">
          <cell r="A2">
            <v>210000</v>
          </cell>
          <cell r="B2" t="str">
            <v>MATERIALES DE ADMINISTRACIÓN, EMISIÓN DE DOCUMENTOS Y ARTÍCULO OFICIALES</v>
          </cell>
          <cell r="C2" t="str">
            <v>N</v>
          </cell>
        </row>
        <row r="3">
          <cell r="A3">
            <v>211000</v>
          </cell>
          <cell r="B3" t="str">
            <v>Materiales, útiles y equipos menores de oficina</v>
          </cell>
          <cell r="C3" t="str">
            <v>N</v>
          </cell>
        </row>
        <row r="4">
          <cell r="A4">
            <v>211001</v>
          </cell>
          <cell r="B4" t="str">
            <v>Material de oficina</v>
          </cell>
          <cell r="C4" t="str">
            <v>S</v>
          </cell>
        </row>
        <row r="5">
          <cell r="A5">
            <v>212000</v>
          </cell>
          <cell r="B5" t="str">
            <v>Materiales y útiles de impresión y reproducción</v>
          </cell>
          <cell r="C5" t="str">
            <v>N</v>
          </cell>
        </row>
        <row r="6">
          <cell r="A6">
            <v>212001</v>
          </cell>
          <cell r="B6" t="str">
            <v>Material y útiles de impresión</v>
          </cell>
          <cell r="C6" t="str">
            <v>S</v>
          </cell>
        </row>
        <row r="7">
          <cell r="A7">
            <v>213000</v>
          </cell>
          <cell r="B7" t="str">
            <v>Material estadístico y geográfico</v>
          </cell>
          <cell r="C7" t="str">
            <v>N</v>
          </cell>
        </row>
        <row r="8">
          <cell r="A8">
            <v>213001</v>
          </cell>
          <cell r="B8" t="str">
            <v>Material estadístico y geográfico</v>
          </cell>
          <cell r="C8" t="str">
            <v>S</v>
          </cell>
        </row>
        <row r="9">
          <cell r="A9">
            <v>214000</v>
          </cell>
          <cell r="B9" t="str">
            <v>Materiales, útiles y equipos menores de tecnologías de la información y comunicaciones</v>
          </cell>
          <cell r="C9" t="str">
            <v>N</v>
          </cell>
        </row>
        <row r="10">
          <cell r="A10">
            <v>214001</v>
          </cell>
          <cell r="B10" t="str">
            <v>Materiales, útiles y equipos menores de tecnologías de la información y comunicaciones</v>
          </cell>
          <cell r="C10" t="str">
            <v>S</v>
          </cell>
        </row>
        <row r="11">
          <cell r="A11">
            <v>215000</v>
          </cell>
          <cell r="B11" t="str">
            <v>Material impreso e información digital</v>
          </cell>
          <cell r="C11" t="str">
            <v>N</v>
          </cell>
        </row>
        <row r="12">
          <cell r="A12">
            <v>215001</v>
          </cell>
          <cell r="B12" t="str">
            <v>Material didáctico</v>
          </cell>
          <cell r="C12" t="str">
            <v>S</v>
          </cell>
        </row>
        <row r="13">
          <cell r="A13">
            <v>215002</v>
          </cell>
          <cell r="B13" t="str">
            <v>Suscripciones a Periódicos, Revistas y Publicaciones Especializadas</v>
          </cell>
          <cell r="C13" t="str">
            <v>S</v>
          </cell>
        </row>
        <row r="14">
          <cell r="A14">
            <v>215003</v>
          </cell>
          <cell r="B14" t="str">
            <v>Material impreso e información digital</v>
          </cell>
          <cell r="C14" t="str">
            <v>S</v>
          </cell>
        </row>
        <row r="15">
          <cell r="A15">
            <v>216000</v>
          </cell>
          <cell r="B15" t="str">
            <v>Material de limpieza</v>
          </cell>
          <cell r="C15" t="str">
            <v>N</v>
          </cell>
        </row>
        <row r="16">
          <cell r="A16">
            <v>216001</v>
          </cell>
          <cell r="B16" t="str">
            <v>Material de limpieza</v>
          </cell>
          <cell r="C16" t="str">
            <v>S</v>
          </cell>
        </row>
        <row r="17">
          <cell r="A17">
            <v>217000</v>
          </cell>
          <cell r="B17" t="str">
            <v>Materiales y útiles de enseñanza</v>
          </cell>
          <cell r="C17" t="str">
            <v>N</v>
          </cell>
        </row>
        <row r="18">
          <cell r="A18">
            <v>217001</v>
          </cell>
          <cell r="B18" t="str">
            <v>Materiales y útiles de enseñanza</v>
          </cell>
          <cell r="C18" t="str">
            <v>S</v>
          </cell>
        </row>
        <row r="19">
          <cell r="A19">
            <v>218000</v>
          </cell>
          <cell r="B19" t="str">
            <v>Materiales para el registro e identificación de bienes y personas</v>
          </cell>
          <cell r="C19" t="str">
            <v>N</v>
          </cell>
        </row>
        <row r="20">
          <cell r="A20">
            <v>218001</v>
          </cell>
          <cell r="B20" t="str">
            <v>Materiales para el registro e identificación de bienes y personas</v>
          </cell>
          <cell r="C20" t="str">
            <v>S</v>
          </cell>
        </row>
        <row r="21">
          <cell r="A21">
            <v>218002</v>
          </cell>
          <cell r="B21" t="str">
            <v>Placas, Engomados, Calcomanías y Hologramas</v>
          </cell>
          <cell r="C21" t="str">
            <v>S</v>
          </cell>
        </row>
        <row r="22">
          <cell r="A22">
            <v>218003</v>
          </cell>
          <cell r="B22" t="str">
            <v>Emisión de Licencias de Conducir</v>
          </cell>
          <cell r="C22" t="str">
            <v>S</v>
          </cell>
        </row>
        <row r="23">
          <cell r="A23">
            <v>218004</v>
          </cell>
          <cell r="B23" t="str">
            <v>Emisión de Formatos Únicos de Control Vehicular</v>
          </cell>
          <cell r="C23" t="str">
            <v>S</v>
          </cell>
        </row>
        <row r="24">
          <cell r="A24">
            <v>220000</v>
          </cell>
          <cell r="B24" t="str">
            <v>ALIMENTOS Y UTENSILIOS</v>
          </cell>
          <cell r="C24" t="str">
            <v>N</v>
          </cell>
        </row>
        <row r="25">
          <cell r="A25">
            <v>221000</v>
          </cell>
          <cell r="B25" t="str">
            <v>Productos alimenticios para personas</v>
          </cell>
          <cell r="C25" t="str">
            <v>N</v>
          </cell>
        </row>
        <row r="26">
          <cell r="A26">
            <v>221001</v>
          </cell>
          <cell r="B26" t="str">
            <v>Alimentación de personas</v>
          </cell>
          <cell r="C26" t="str">
            <v>S</v>
          </cell>
        </row>
        <row r="27">
          <cell r="A27">
            <v>222000</v>
          </cell>
          <cell r="B27" t="str">
            <v>Productos alimenticios para animales</v>
          </cell>
          <cell r="C27" t="str">
            <v>N</v>
          </cell>
        </row>
        <row r="28">
          <cell r="A28">
            <v>222001</v>
          </cell>
          <cell r="B28" t="str">
            <v>Alimentación de animales</v>
          </cell>
          <cell r="C28" t="str">
            <v>S</v>
          </cell>
        </row>
        <row r="29">
          <cell r="A29">
            <v>223000</v>
          </cell>
          <cell r="B29" t="str">
            <v>Utensilios para el servicio de alimentación</v>
          </cell>
          <cell r="C29" t="str">
            <v>N</v>
          </cell>
        </row>
        <row r="30">
          <cell r="A30">
            <v>223001</v>
          </cell>
          <cell r="B30" t="str">
            <v>Utensilios para el servicio de alimentación</v>
          </cell>
          <cell r="C30" t="str">
            <v>S</v>
          </cell>
        </row>
        <row r="31">
          <cell r="A31">
            <v>230000</v>
          </cell>
          <cell r="B31" t="str">
            <v>MATERIAS PRIMAS Y MATERIALES DE PRODUCCIÓN Y COMERCIALIZACIÓN</v>
          </cell>
          <cell r="C31" t="str">
            <v>N</v>
          </cell>
        </row>
        <row r="32">
          <cell r="A32">
            <v>231000</v>
          </cell>
          <cell r="B32" t="str">
            <v>Productos alimenticios, agropecuarios y forestales adquiridos como materia prima</v>
          </cell>
          <cell r="C32" t="str">
            <v>N</v>
          </cell>
        </row>
        <row r="33">
          <cell r="A33">
            <v>231001</v>
          </cell>
          <cell r="B33" t="str">
            <v>Materias primas para producción</v>
          </cell>
          <cell r="C33" t="str">
            <v>S</v>
          </cell>
        </row>
        <row r="34">
          <cell r="A34">
            <v>232000</v>
          </cell>
          <cell r="B34" t="str">
            <v>Insumos textiles adquiridos como materia prima</v>
          </cell>
          <cell r="C34" t="str">
            <v>N</v>
          </cell>
        </row>
        <row r="35">
          <cell r="A35">
            <v>232001</v>
          </cell>
          <cell r="B35" t="str">
            <v>Insumos textiles adquiridos como materia prima</v>
          </cell>
          <cell r="C35" t="str">
            <v>S</v>
          </cell>
        </row>
        <row r="36">
          <cell r="A36">
            <v>233000</v>
          </cell>
          <cell r="B36" t="str">
            <v>Productos de papel, cartón e impresos adquiridos como materia prima</v>
          </cell>
          <cell r="C36" t="str">
            <v>N</v>
          </cell>
        </row>
        <row r="37">
          <cell r="A37">
            <v>233001</v>
          </cell>
          <cell r="B37" t="str">
            <v>Productos de papel, cartón e impresos adquiridos como materia prima</v>
          </cell>
          <cell r="C37" t="str">
            <v>S</v>
          </cell>
        </row>
        <row r="38">
          <cell r="A38">
            <v>234000</v>
          </cell>
          <cell r="B38" t="str">
            <v>Combustibles, lubricantes, aditivos, carbón y sus derivados adquiridos como materia prima</v>
          </cell>
          <cell r="C38" t="str">
            <v>N</v>
          </cell>
        </row>
        <row r="39">
          <cell r="A39">
            <v>234001</v>
          </cell>
          <cell r="B39" t="str">
            <v>Combustibles, lubricantes, aditivos, carbón y sus derivados adquiridos como materia prima</v>
          </cell>
          <cell r="C39" t="str">
            <v>S</v>
          </cell>
        </row>
        <row r="40">
          <cell r="A40">
            <v>235000</v>
          </cell>
          <cell r="B40" t="str">
            <v>Productos químicos, farmacéuticos y de laboratorio adquiridos como materia prima</v>
          </cell>
          <cell r="C40" t="str">
            <v>N</v>
          </cell>
        </row>
        <row r="41">
          <cell r="A41">
            <v>235001</v>
          </cell>
          <cell r="B41" t="str">
            <v>Productos químicos, farmacéuticos y de laboratorio adquiridos como materia prima</v>
          </cell>
          <cell r="C41" t="str">
            <v>S</v>
          </cell>
        </row>
        <row r="42">
          <cell r="A42">
            <v>236000</v>
          </cell>
          <cell r="B42" t="str">
            <v>Productos metálicos y a base de minerales no metálicos adquiridos como materia prima</v>
          </cell>
          <cell r="C42" t="str">
            <v>N</v>
          </cell>
        </row>
        <row r="43">
          <cell r="A43">
            <v>236001</v>
          </cell>
          <cell r="B43" t="str">
            <v>Productos metálicos y a base de minerales no metálicos adquiridos como materia prima</v>
          </cell>
          <cell r="C43" t="str">
            <v>S</v>
          </cell>
        </row>
        <row r="44">
          <cell r="A44">
            <v>237000</v>
          </cell>
          <cell r="B44" t="str">
            <v>Productos de cuero, piel, plástico y hule adquiridos como materia prima</v>
          </cell>
          <cell r="C44" t="str">
            <v>N</v>
          </cell>
        </row>
        <row r="45">
          <cell r="A45">
            <v>237001</v>
          </cell>
          <cell r="B45" t="str">
            <v>Productos de cuero, piel, plástico y hule adquiridos como materia prima</v>
          </cell>
          <cell r="C45" t="str">
            <v>S</v>
          </cell>
        </row>
        <row r="46">
          <cell r="A46">
            <v>238000</v>
          </cell>
          <cell r="B46" t="str">
            <v>Mercancías adquiridas para su comercialización</v>
          </cell>
          <cell r="C46" t="str">
            <v>N</v>
          </cell>
        </row>
        <row r="47">
          <cell r="A47">
            <v>238001</v>
          </cell>
          <cell r="B47" t="str">
            <v>Mercancías adquiridas para su comercialización</v>
          </cell>
          <cell r="C47" t="str">
            <v>S</v>
          </cell>
        </row>
        <row r="48">
          <cell r="A48">
            <v>240000</v>
          </cell>
          <cell r="B48" t="str">
            <v>MATERIALES Y ARTÍCULOS DE CONSTRUCCIÓN Y DE REPARACIÓN</v>
          </cell>
          <cell r="C48" t="str">
            <v>N</v>
          </cell>
        </row>
        <row r="49">
          <cell r="A49">
            <v>241000</v>
          </cell>
          <cell r="B49" t="str">
            <v>Productos minerales no metálicos</v>
          </cell>
          <cell r="C49" t="str">
            <v>N</v>
          </cell>
        </row>
        <row r="50">
          <cell r="A50">
            <v>241001</v>
          </cell>
          <cell r="B50" t="str">
            <v>Productos minerales no metálicos</v>
          </cell>
          <cell r="C50" t="str">
            <v>S</v>
          </cell>
        </row>
        <row r="51">
          <cell r="A51">
            <v>242000</v>
          </cell>
          <cell r="B51" t="str">
            <v>Cemento y productos de concreto</v>
          </cell>
          <cell r="C51" t="str">
            <v>N</v>
          </cell>
        </row>
        <row r="52">
          <cell r="A52">
            <v>242001</v>
          </cell>
          <cell r="B52" t="str">
            <v>Cemento y productos de concreto</v>
          </cell>
          <cell r="C52" t="str">
            <v>S</v>
          </cell>
        </row>
        <row r="53">
          <cell r="A53">
            <v>243000</v>
          </cell>
          <cell r="B53" t="str">
            <v>Cal, yeso y productos de yeso</v>
          </cell>
          <cell r="C53" t="str">
            <v>N</v>
          </cell>
        </row>
        <row r="54">
          <cell r="A54">
            <v>243001</v>
          </cell>
          <cell r="B54" t="str">
            <v>Cal, yeso y productos de yeso</v>
          </cell>
          <cell r="C54" t="str">
            <v>S</v>
          </cell>
        </row>
        <row r="55">
          <cell r="A55">
            <v>244000</v>
          </cell>
          <cell r="B55" t="str">
            <v>Madera y productos de madera</v>
          </cell>
          <cell r="C55" t="str">
            <v>N</v>
          </cell>
        </row>
        <row r="56">
          <cell r="A56">
            <v>244001</v>
          </cell>
          <cell r="B56" t="str">
            <v>Madera y productos de madera</v>
          </cell>
          <cell r="C56" t="str">
            <v>S</v>
          </cell>
        </row>
        <row r="57">
          <cell r="A57">
            <v>245000</v>
          </cell>
          <cell r="B57" t="str">
            <v>Vidrio y productos de vidrio</v>
          </cell>
          <cell r="C57" t="str">
            <v>N</v>
          </cell>
        </row>
        <row r="58">
          <cell r="A58">
            <v>245001</v>
          </cell>
          <cell r="B58" t="str">
            <v>Vidrio y productos de vidrio</v>
          </cell>
          <cell r="C58" t="str">
            <v>S</v>
          </cell>
        </row>
        <row r="59">
          <cell r="A59">
            <v>246000</v>
          </cell>
          <cell r="B59" t="str">
            <v>Material eléctrico y electrónico</v>
          </cell>
          <cell r="C59" t="str">
            <v>N</v>
          </cell>
        </row>
        <row r="60">
          <cell r="A60">
            <v>246001</v>
          </cell>
          <cell r="B60" t="str">
            <v>Material eléctrico</v>
          </cell>
          <cell r="C60" t="str">
            <v>S</v>
          </cell>
        </row>
        <row r="61">
          <cell r="A61">
            <v>246002</v>
          </cell>
          <cell r="B61" t="str">
            <v>Material electrónico</v>
          </cell>
          <cell r="C61" t="str">
            <v>S</v>
          </cell>
        </row>
        <row r="62">
          <cell r="A62">
            <v>247000</v>
          </cell>
          <cell r="B62" t="str">
            <v>Artículos metálicos para la construcción</v>
          </cell>
          <cell r="C62" t="str">
            <v>N</v>
          </cell>
        </row>
        <row r="63">
          <cell r="A63">
            <v>247001</v>
          </cell>
          <cell r="B63" t="str">
            <v>Artículos metálicos para la construcción</v>
          </cell>
          <cell r="C63" t="str">
            <v>S</v>
          </cell>
        </row>
        <row r="64">
          <cell r="A64">
            <v>248000</v>
          </cell>
          <cell r="B64" t="str">
            <v>Materiales complementarios</v>
          </cell>
          <cell r="C64" t="str">
            <v>N</v>
          </cell>
        </row>
        <row r="65">
          <cell r="A65">
            <v>248001</v>
          </cell>
          <cell r="B65" t="str">
            <v>Materiales complementarios</v>
          </cell>
          <cell r="C65" t="str">
            <v>S</v>
          </cell>
        </row>
        <row r="66">
          <cell r="A66">
            <v>249000</v>
          </cell>
          <cell r="B66" t="str">
            <v>Otros materiales y artículos de construcción y reparación</v>
          </cell>
          <cell r="C66" t="str">
            <v>N</v>
          </cell>
        </row>
        <row r="67">
          <cell r="A67">
            <v>249001</v>
          </cell>
          <cell r="B67" t="str">
            <v>Materiales de construcción y complementarios</v>
          </cell>
          <cell r="C67" t="str">
            <v>S</v>
          </cell>
        </row>
        <row r="68">
          <cell r="A68">
            <v>249002</v>
          </cell>
          <cell r="B68" t="str">
            <v>Otros materiales de construcción y reparación</v>
          </cell>
          <cell r="C68" t="str">
            <v>S</v>
          </cell>
        </row>
        <row r="69">
          <cell r="A69">
            <v>250000</v>
          </cell>
          <cell r="B69" t="str">
            <v>PRODUCTOS QUÍMICOS, FARMACÉUTICOS Y DE LABORATORIO</v>
          </cell>
          <cell r="C69" t="str">
            <v>N</v>
          </cell>
        </row>
        <row r="70">
          <cell r="A70">
            <v>251000</v>
          </cell>
          <cell r="B70" t="str">
            <v>Productos químicos básicos</v>
          </cell>
          <cell r="C70" t="str">
            <v>N</v>
          </cell>
        </row>
        <row r="71">
          <cell r="A71">
            <v>251001</v>
          </cell>
          <cell r="B71" t="str">
            <v>Gas Refrigerante</v>
          </cell>
          <cell r="C71" t="str">
            <v>S</v>
          </cell>
        </row>
        <row r="72">
          <cell r="A72">
            <v>252000</v>
          </cell>
          <cell r="B72" t="str">
            <v>Fertilizantes, pesticidas y otros agroquímicos</v>
          </cell>
          <cell r="C72" t="str">
            <v>N</v>
          </cell>
        </row>
        <row r="73">
          <cell r="A73">
            <v>252001</v>
          </cell>
          <cell r="B73" t="str">
            <v>Fertilizantes, pesticidas y otros agroquímicos</v>
          </cell>
          <cell r="C73" t="str">
            <v>S</v>
          </cell>
        </row>
        <row r="74">
          <cell r="A74">
            <v>253000</v>
          </cell>
          <cell r="B74" t="str">
            <v>Medicinas y productos químicos, farmacéuticos</v>
          </cell>
          <cell r="C74" t="str">
            <v>N</v>
          </cell>
        </row>
        <row r="75">
          <cell r="A75">
            <v>253001</v>
          </cell>
          <cell r="B75" t="str">
            <v>Material y productos químicos, farmacéuticos</v>
          </cell>
          <cell r="C75" t="str">
            <v>S</v>
          </cell>
        </row>
        <row r="76">
          <cell r="A76">
            <v>254000</v>
          </cell>
          <cell r="B76" t="str">
            <v>Materiales, accesorios y suministros médicos</v>
          </cell>
          <cell r="C76" t="str">
            <v>N</v>
          </cell>
        </row>
        <row r="77">
          <cell r="A77">
            <v>254001</v>
          </cell>
          <cell r="B77" t="str">
            <v>Materiales, accesorios y suministros médicos</v>
          </cell>
          <cell r="C77" t="str">
            <v>S</v>
          </cell>
        </row>
        <row r="78">
          <cell r="A78">
            <v>255000</v>
          </cell>
          <cell r="B78" t="str">
            <v>Materiales, accesorios y suministros de laboratorio</v>
          </cell>
          <cell r="C78" t="str">
            <v>N</v>
          </cell>
        </row>
        <row r="79">
          <cell r="A79">
            <v>255001</v>
          </cell>
          <cell r="B79" t="str">
            <v>Materiales, accesorios y suministros de laboratorio</v>
          </cell>
          <cell r="C79" t="str">
            <v>S</v>
          </cell>
        </row>
        <row r="80">
          <cell r="A80">
            <v>256000</v>
          </cell>
          <cell r="B80" t="str">
            <v>Fibras sintéticas, hules, plásticos y derivados</v>
          </cell>
          <cell r="C80" t="str">
            <v>N</v>
          </cell>
        </row>
        <row r="81">
          <cell r="A81">
            <v>256001</v>
          </cell>
          <cell r="B81" t="str">
            <v>Fibras sintéticas, hules, plásticos y derivados</v>
          </cell>
          <cell r="C81" t="str">
            <v>S</v>
          </cell>
        </row>
        <row r="82">
          <cell r="A82">
            <v>259000</v>
          </cell>
          <cell r="B82" t="str">
            <v>Otros productos químicos</v>
          </cell>
          <cell r="C82" t="str">
            <v>N</v>
          </cell>
        </row>
        <row r="83">
          <cell r="A83">
            <v>259001</v>
          </cell>
          <cell r="B83" t="str">
            <v>Otros productos químicos</v>
          </cell>
          <cell r="C83" t="str">
            <v>S</v>
          </cell>
        </row>
        <row r="84">
          <cell r="A84">
            <v>260000</v>
          </cell>
          <cell r="B84" t="str">
            <v>COMBUSTIBLES, LUBRICANTES Y ADITIVOS</v>
          </cell>
          <cell r="C84" t="str">
            <v>N</v>
          </cell>
        </row>
        <row r="85">
          <cell r="A85">
            <v>261000</v>
          </cell>
          <cell r="B85" t="str">
            <v>Combustibles, lubricantes y aditivos</v>
          </cell>
          <cell r="C85" t="str">
            <v>N</v>
          </cell>
        </row>
        <row r="86">
          <cell r="A86">
            <v>261001</v>
          </cell>
          <cell r="B86" t="str">
            <v>Combustibles</v>
          </cell>
          <cell r="C86" t="str">
            <v>S</v>
          </cell>
        </row>
        <row r="87">
          <cell r="A87">
            <v>261002</v>
          </cell>
          <cell r="B87" t="str">
            <v>Lubricantes y aditivos</v>
          </cell>
          <cell r="C87" t="str">
            <v>S</v>
          </cell>
        </row>
        <row r="88">
          <cell r="A88">
            <v>262000</v>
          </cell>
          <cell r="B88" t="str">
            <v>Carbón y sus derivados</v>
          </cell>
          <cell r="C88" t="str">
            <v>N</v>
          </cell>
        </row>
        <row r="89">
          <cell r="A89">
            <v>262001</v>
          </cell>
          <cell r="B89" t="str">
            <v>Carbón y sus derivados</v>
          </cell>
          <cell r="C89" t="str">
            <v>S</v>
          </cell>
        </row>
        <row r="90">
          <cell r="A90">
            <v>270000</v>
          </cell>
          <cell r="B90" t="str">
            <v>VESTUARIO, BLANCOS, PRENDAS DE PROTECCIÓN Y ARTÍCULOS DEPORTIVOS</v>
          </cell>
          <cell r="C90" t="str">
            <v>N</v>
          </cell>
        </row>
        <row r="91">
          <cell r="A91">
            <v>271000</v>
          </cell>
          <cell r="B91" t="str">
            <v>Vestuario y uniformes</v>
          </cell>
          <cell r="C91" t="str">
            <v>N</v>
          </cell>
        </row>
        <row r="92">
          <cell r="A92">
            <v>271001</v>
          </cell>
          <cell r="B92" t="str">
            <v>Ropa, vestuario y equipo</v>
          </cell>
          <cell r="C92" t="str">
            <v>S</v>
          </cell>
        </row>
        <row r="93">
          <cell r="A93">
            <v>272000</v>
          </cell>
          <cell r="B93" t="str">
            <v>Prendas de seguridad y protección personal</v>
          </cell>
          <cell r="C93" t="str">
            <v>N</v>
          </cell>
        </row>
        <row r="94">
          <cell r="A94">
            <v>272001</v>
          </cell>
          <cell r="B94" t="str">
            <v>Materiales explosivos y de seguridad pública</v>
          </cell>
          <cell r="C94" t="str">
            <v>S</v>
          </cell>
        </row>
        <row r="95">
          <cell r="A95">
            <v>272002</v>
          </cell>
          <cell r="B95" t="str">
            <v>Prendas de seguridad y protección personal</v>
          </cell>
          <cell r="C95" t="str">
            <v>S</v>
          </cell>
        </row>
        <row r="96">
          <cell r="A96">
            <v>273000</v>
          </cell>
          <cell r="B96" t="str">
            <v>Artículos deportivos</v>
          </cell>
          <cell r="C96" t="str">
            <v>N</v>
          </cell>
        </row>
        <row r="97">
          <cell r="A97">
            <v>273001</v>
          </cell>
          <cell r="B97" t="str">
            <v>Artículos deportivos</v>
          </cell>
          <cell r="C97" t="str">
            <v>S</v>
          </cell>
        </row>
        <row r="98">
          <cell r="A98">
            <v>274000</v>
          </cell>
          <cell r="B98" t="str">
            <v>Productos textiles</v>
          </cell>
          <cell r="C98" t="str">
            <v>N</v>
          </cell>
        </row>
        <row r="99">
          <cell r="A99">
            <v>274001</v>
          </cell>
          <cell r="B99" t="str">
            <v>Productos textiles</v>
          </cell>
          <cell r="C99" t="str">
            <v>S</v>
          </cell>
        </row>
        <row r="100">
          <cell r="A100">
            <v>275000</v>
          </cell>
          <cell r="B100" t="str">
            <v>Blancos y otros productos textiles, excepto prendas de vestir</v>
          </cell>
          <cell r="C100" t="str">
            <v>N</v>
          </cell>
        </row>
        <row r="101">
          <cell r="A101">
            <v>275001</v>
          </cell>
          <cell r="B101" t="str">
            <v>Blancos y otros productos textiles, excepto prendas de vestir</v>
          </cell>
          <cell r="C101" t="str">
            <v>S</v>
          </cell>
        </row>
        <row r="102">
          <cell r="A102">
            <v>280000</v>
          </cell>
          <cell r="B102" t="str">
            <v>MATERIALES Y SUMINISTROS PARA SEGURIDAD</v>
          </cell>
          <cell r="C102" t="str">
            <v>N</v>
          </cell>
        </row>
        <row r="103">
          <cell r="A103">
            <v>281000</v>
          </cell>
          <cell r="B103" t="str">
            <v>Sustancias y materiales explosivos</v>
          </cell>
          <cell r="C103" t="str">
            <v>N</v>
          </cell>
        </row>
        <row r="104">
          <cell r="A104">
            <v>281001</v>
          </cell>
          <cell r="B104" t="str">
            <v>Sustancias y materiales explosivos</v>
          </cell>
          <cell r="C104" t="str">
            <v>S</v>
          </cell>
        </row>
        <row r="105">
          <cell r="A105">
            <v>282000</v>
          </cell>
          <cell r="B105" t="str">
            <v>Materiales de seguridad pública</v>
          </cell>
          <cell r="C105" t="str">
            <v>N</v>
          </cell>
        </row>
        <row r="106">
          <cell r="A106">
            <v>282001</v>
          </cell>
          <cell r="B106" t="str">
            <v>Materiales de seguridad pública</v>
          </cell>
          <cell r="C106" t="str">
            <v>S</v>
          </cell>
        </row>
        <row r="107">
          <cell r="A107">
            <v>283000</v>
          </cell>
          <cell r="B107" t="str">
            <v>Prendas de protección para seguridad pública y nacional</v>
          </cell>
          <cell r="C107" t="str">
            <v>N</v>
          </cell>
        </row>
        <row r="108">
          <cell r="A108">
            <v>283001</v>
          </cell>
          <cell r="B108" t="str">
            <v>Prendas de protección para seguridad pública</v>
          </cell>
          <cell r="C108" t="str">
            <v>S</v>
          </cell>
        </row>
        <row r="109">
          <cell r="A109">
            <v>290000</v>
          </cell>
          <cell r="B109" t="str">
            <v>HERRAMIENTAS, REFACCIONES Y ACCESORIOS MENORES</v>
          </cell>
          <cell r="C109" t="str">
            <v>N</v>
          </cell>
        </row>
        <row r="110">
          <cell r="A110">
            <v>291000</v>
          </cell>
          <cell r="B110" t="str">
            <v>Herramientas menores</v>
          </cell>
          <cell r="C110" t="str">
            <v>N</v>
          </cell>
        </row>
        <row r="111">
          <cell r="A111">
            <v>291001</v>
          </cell>
          <cell r="B111" t="str">
            <v>Herramientas Auxiliares de Trabajo</v>
          </cell>
          <cell r="C111" t="str">
            <v>S</v>
          </cell>
        </row>
        <row r="112">
          <cell r="A112">
            <v>292000</v>
          </cell>
          <cell r="B112" t="str">
            <v>Refacciones y accesorios menores de edificios</v>
          </cell>
          <cell r="C112" t="str">
            <v>N</v>
          </cell>
        </row>
        <row r="113">
          <cell r="A113">
            <v>292001</v>
          </cell>
          <cell r="B113" t="str">
            <v>Refacciones y accesorios menores de edificios (candados, cerraduras, chapas, llaves)</v>
          </cell>
          <cell r="C113" t="str">
            <v>S</v>
          </cell>
        </row>
        <row r="114">
          <cell r="A114">
            <v>293000</v>
          </cell>
          <cell r="B114" t="str">
            <v>Refacciones y accesorios menores de mobiliario y equipo de administración, educacional y recreativo</v>
          </cell>
          <cell r="C114" t="str">
            <v>N</v>
          </cell>
        </row>
        <row r="115">
          <cell r="A115">
            <v>293001</v>
          </cell>
          <cell r="B115" t="str">
            <v>Refacciones y accesorios menores de mobiliario y equipo de administración, educacional y recreativo</v>
          </cell>
          <cell r="C115" t="str">
            <v>S</v>
          </cell>
        </row>
        <row r="116">
          <cell r="A116">
            <v>294000</v>
          </cell>
          <cell r="B116" t="str">
            <v>Refacciones y accesorios menores de equipo de cómputo y tecnologías de la información</v>
          </cell>
          <cell r="C116" t="str">
            <v>N</v>
          </cell>
        </row>
        <row r="117">
          <cell r="A117">
            <v>294001</v>
          </cell>
          <cell r="B117" t="str">
            <v>Dispositivos Internos y Externos de Equipo de Computo</v>
          </cell>
          <cell r="C117" t="str">
            <v>S</v>
          </cell>
        </row>
        <row r="118">
          <cell r="A118">
            <v>294002</v>
          </cell>
          <cell r="B118" t="str">
            <v>Refacciones y Accesorios Menores de Equipo de Computo</v>
          </cell>
          <cell r="C118" t="str">
            <v>S</v>
          </cell>
        </row>
        <row r="119">
          <cell r="A119">
            <v>295000</v>
          </cell>
          <cell r="B119" t="str">
            <v>Refacciones y accesorios menores de equipo e instrumental médico y de laboratorio</v>
          </cell>
          <cell r="C119" t="str">
            <v>N</v>
          </cell>
        </row>
        <row r="120">
          <cell r="A120">
            <v>295001</v>
          </cell>
          <cell r="B120" t="str">
            <v>Refacciones y accesorios menores de equipo e instrumental médico y de laboratorio</v>
          </cell>
          <cell r="C120" t="str">
            <v>S</v>
          </cell>
        </row>
        <row r="121">
          <cell r="A121">
            <v>296000</v>
          </cell>
          <cell r="B121" t="str">
            <v>Refacciones y accesorios menores de equipo de transporte</v>
          </cell>
          <cell r="C121" t="str">
            <v>N</v>
          </cell>
        </row>
        <row r="122">
          <cell r="A122">
            <v>296001</v>
          </cell>
          <cell r="B122" t="str">
            <v>Herramientas, refacciones y accesorios</v>
          </cell>
          <cell r="C122" t="str">
            <v>S</v>
          </cell>
        </row>
        <row r="123">
          <cell r="A123">
            <v>297000</v>
          </cell>
          <cell r="B123" t="str">
            <v>Refacciones y accesorios menores de equipo de defensa y seguridad</v>
          </cell>
          <cell r="C123" t="str">
            <v>N</v>
          </cell>
        </row>
        <row r="124">
          <cell r="A124">
            <v>297001</v>
          </cell>
          <cell r="B124" t="str">
            <v>Refacciones y accesorios menores de equipo de defensa y seguridad</v>
          </cell>
          <cell r="C124" t="str">
            <v>S</v>
          </cell>
        </row>
        <row r="125">
          <cell r="A125">
            <v>298000</v>
          </cell>
          <cell r="B125" t="str">
            <v>Refacciones y accesorios menores de maquinaria y otros equipos</v>
          </cell>
          <cell r="C125" t="str">
            <v>N</v>
          </cell>
        </row>
        <row r="126">
          <cell r="A126">
            <v>298001</v>
          </cell>
          <cell r="B126" t="str">
            <v>Refacciones y accesorios menores de maquinaria y otros equipos</v>
          </cell>
          <cell r="C126" t="str">
            <v>S</v>
          </cell>
        </row>
        <row r="127">
          <cell r="A127">
            <v>299000</v>
          </cell>
          <cell r="B127" t="str">
            <v>Refacciones y accesorios menores otros bienes muebles</v>
          </cell>
          <cell r="C127" t="str">
            <v>N</v>
          </cell>
        </row>
        <row r="128">
          <cell r="A128">
            <v>299001</v>
          </cell>
          <cell r="B128" t="str">
            <v>Refacciones y accesorios menores otros bienes muebles</v>
          </cell>
          <cell r="C128" t="str">
            <v>S</v>
          </cell>
        </row>
        <row r="129">
          <cell r="A129">
            <v>300000</v>
          </cell>
          <cell r="B129" t="str">
            <v>SERVICIOS GENERALES</v>
          </cell>
          <cell r="C129" t="str">
            <v>N</v>
          </cell>
        </row>
        <row r="130">
          <cell r="A130">
            <v>310000</v>
          </cell>
          <cell r="B130" t="str">
            <v>SERVICIOS BÁSICOS</v>
          </cell>
          <cell r="C130" t="str">
            <v>N</v>
          </cell>
        </row>
        <row r="131">
          <cell r="A131">
            <v>311000</v>
          </cell>
          <cell r="B131" t="str">
            <v>Energía eléctrica</v>
          </cell>
          <cell r="C131" t="str">
            <v>N</v>
          </cell>
        </row>
        <row r="132">
          <cell r="A132">
            <v>311001</v>
          </cell>
          <cell r="B132" t="str">
            <v>Servicio de energía eléctrica</v>
          </cell>
          <cell r="C132" t="str">
            <v>S</v>
          </cell>
        </row>
        <row r="133">
          <cell r="A133">
            <v>311002</v>
          </cell>
          <cell r="B133" t="str">
            <v>Contratación del servicio de energía eléctrica</v>
          </cell>
          <cell r="C133" t="str">
            <v>S</v>
          </cell>
        </row>
        <row r="134">
          <cell r="A134">
            <v>312000</v>
          </cell>
          <cell r="B134" t="str">
            <v>Gas</v>
          </cell>
          <cell r="C134" t="str">
            <v>N</v>
          </cell>
        </row>
        <row r="135">
          <cell r="A135">
            <v>312001</v>
          </cell>
          <cell r="B135" t="str">
            <v>Servicio de Gas L.P.</v>
          </cell>
          <cell r="C135" t="str">
            <v>S</v>
          </cell>
        </row>
        <row r="136">
          <cell r="A136">
            <v>313000</v>
          </cell>
          <cell r="B136" t="str">
            <v>Agua</v>
          </cell>
          <cell r="C136" t="str">
            <v>N</v>
          </cell>
        </row>
        <row r="137">
          <cell r="A137">
            <v>313001</v>
          </cell>
          <cell r="B137" t="str">
            <v>Servicio de agua potable</v>
          </cell>
          <cell r="C137" t="str">
            <v>S</v>
          </cell>
        </row>
        <row r="138">
          <cell r="A138">
            <v>313002</v>
          </cell>
          <cell r="B138" t="str">
            <v>Contratación del servicio de agua potable</v>
          </cell>
          <cell r="C138" t="str">
            <v>S</v>
          </cell>
        </row>
        <row r="139">
          <cell r="A139">
            <v>314000</v>
          </cell>
          <cell r="B139" t="str">
            <v>Telefonía tradicional</v>
          </cell>
          <cell r="C139" t="str">
            <v>N</v>
          </cell>
        </row>
        <row r="140">
          <cell r="A140">
            <v>314001</v>
          </cell>
          <cell r="B140" t="str">
            <v>Servicio telefónico</v>
          </cell>
          <cell r="C140" t="str">
            <v>S</v>
          </cell>
        </row>
        <row r="141">
          <cell r="A141">
            <v>315000</v>
          </cell>
          <cell r="B141" t="str">
            <v>Telefonía celular</v>
          </cell>
          <cell r="C141" t="str">
            <v>N</v>
          </cell>
        </row>
        <row r="142">
          <cell r="A142">
            <v>315001</v>
          </cell>
          <cell r="B142" t="str">
            <v>Telefonía celular</v>
          </cell>
          <cell r="C142" t="str">
            <v>S</v>
          </cell>
        </row>
        <row r="143">
          <cell r="A143">
            <v>316000</v>
          </cell>
          <cell r="B143" t="str">
            <v>Servicios de telecomunicaciones y satélites</v>
          </cell>
          <cell r="C143" t="str">
            <v>N</v>
          </cell>
        </row>
        <row r="144">
          <cell r="A144">
            <v>316001</v>
          </cell>
          <cell r="B144" t="str">
            <v>Servicios de telecomunicaciones y satélites</v>
          </cell>
          <cell r="C144" t="str">
            <v>S</v>
          </cell>
        </row>
        <row r="145">
          <cell r="A145">
            <v>317000</v>
          </cell>
          <cell r="B145" t="str">
            <v>Servicios de acceso de Internet, redes y procesamiento de información</v>
          </cell>
          <cell r="C145" t="str">
            <v>N</v>
          </cell>
        </row>
        <row r="146">
          <cell r="A146">
            <v>317001</v>
          </cell>
          <cell r="B146" t="str">
            <v>Servicios de acceso de Internet, redes y procesamiento de información</v>
          </cell>
          <cell r="C146" t="str">
            <v>S</v>
          </cell>
        </row>
        <row r="147">
          <cell r="A147">
            <v>318000</v>
          </cell>
          <cell r="B147" t="str">
            <v>Servicios postales y telegráficos</v>
          </cell>
          <cell r="C147" t="str">
            <v>N</v>
          </cell>
        </row>
        <row r="148">
          <cell r="A148">
            <v>318001</v>
          </cell>
          <cell r="B148" t="str">
            <v>Servicio postal y telegráfico</v>
          </cell>
          <cell r="C148" t="str">
            <v>S</v>
          </cell>
        </row>
        <row r="149">
          <cell r="A149">
            <v>319000</v>
          </cell>
          <cell r="B149" t="str">
            <v>Servicios integrales y otros servicios</v>
          </cell>
          <cell r="C149" t="str">
            <v>N</v>
          </cell>
        </row>
        <row r="150">
          <cell r="A150">
            <v>319001</v>
          </cell>
          <cell r="B150" t="str">
            <v>Servicios Integrales</v>
          </cell>
          <cell r="C150" t="str">
            <v>S</v>
          </cell>
        </row>
        <row r="151">
          <cell r="A151">
            <v>320000</v>
          </cell>
          <cell r="B151" t="str">
            <v>SERVICIOS DE ARRENDAMIENTO</v>
          </cell>
          <cell r="C151" t="str">
            <v>N</v>
          </cell>
        </row>
        <row r="152">
          <cell r="A152">
            <v>321000</v>
          </cell>
          <cell r="B152" t="str">
            <v>Arrendamiento de terrenos</v>
          </cell>
          <cell r="C152" t="str">
            <v>N</v>
          </cell>
        </row>
        <row r="153">
          <cell r="A153">
            <v>321001</v>
          </cell>
          <cell r="B153" t="str">
            <v>Arrendamiento de terrenos</v>
          </cell>
          <cell r="C153" t="str">
            <v>S</v>
          </cell>
        </row>
        <row r="154">
          <cell r="A154">
            <v>322000</v>
          </cell>
          <cell r="B154" t="str">
            <v>Arrendamiento de edificios</v>
          </cell>
          <cell r="C154" t="str">
            <v>N</v>
          </cell>
        </row>
        <row r="155">
          <cell r="A155">
            <v>322001</v>
          </cell>
          <cell r="B155" t="str">
            <v>Arrendamiento de edificios</v>
          </cell>
          <cell r="C155" t="str">
            <v>S</v>
          </cell>
        </row>
        <row r="156">
          <cell r="A156">
            <v>323000</v>
          </cell>
          <cell r="B156" t="str">
            <v>Arrendamiento de mobiliario y equipo de administración, educacional y recreativo</v>
          </cell>
          <cell r="C156" t="str">
            <v>N</v>
          </cell>
        </row>
        <row r="157">
          <cell r="A157">
            <v>323001</v>
          </cell>
          <cell r="B157" t="str">
            <v>Arrendamiento de maquinaria y equipo</v>
          </cell>
          <cell r="C157" t="str">
            <v>S</v>
          </cell>
        </row>
        <row r="158">
          <cell r="A158">
            <v>323002</v>
          </cell>
          <cell r="B158" t="str">
            <v>Arrendamiento de maquinaria y equipo de Administración</v>
          </cell>
          <cell r="C158" t="str">
            <v>S</v>
          </cell>
        </row>
        <row r="159">
          <cell r="A159">
            <v>323003</v>
          </cell>
          <cell r="B159" t="str">
            <v>Arrendamiento de Equipo Educacional y Recreativo</v>
          </cell>
          <cell r="C159" t="str">
            <v>S</v>
          </cell>
        </row>
        <row r="160">
          <cell r="A160">
            <v>323004</v>
          </cell>
          <cell r="B160" t="str">
            <v>Arrendamiento de Mobiliario y Equipo</v>
          </cell>
          <cell r="C160" t="str">
            <v>S</v>
          </cell>
        </row>
        <row r="161">
          <cell r="A161">
            <v>324000</v>
          </cell>
          <cell r="B161" t="str">
            <v>Arrendamiento de equipo e instrumental médico y de laboratorio</v>
          </cell>
          <cell r="C161" t="str">
            <v>N</v>
          </cell>
        </row>
        <row r="162">
          <cell r="A162">
            <v>324001</v>
          </cell>
          <cell r="B162" t="str">
            <v>Arrendamiento de equipo e instrumental médico y de laboratorio</v>
          </cell>
          <cell r="C162" t="str">
            <v>S</v>
          </cell>
        </row>
        <row r="163">
          <cell r="A163">
            <v>325000</v>
          </cell>
          <cell r="B163" t="str">
            <v>Arrendamiento de equipo de transporte</v>
          </cell>
          <cell r="C163" t="str">
            <v>N</v>
          </cell>
        </row>
        <row r="164">
          <cell r="A164">
            <v>325001</v>
          </cell>
          <cell r="B164" t="str">
            <v>Arrendamiento de equipo de transporte</v>
          </cell>
          <cell r="C164" t="str">
            <v>S</v>
          </cell>
        </row>
        <row r="165">
          <cell r="A165">
            <v>326000</v>
          </cell>
          <cell r="B165" t="str">
            <v>Arrendamiento de maquinaria, otros equipos y herramientas</v>
          </cell>
          <cell r="C165" t="str">
            <v>N</v>
          </cell>
        </row>
        <row r="166">
          <cell r="A166">
            <v>326001</v>
          </cell>
          <cell r="B166" t="str">
            <v>Arrendamiento de maquinaria, otros equipos y herramientas</v>
          </cell>
          <cell r="C166" t="str">
            <v>S</v>
          </cell>
        </row>
        <row r="167">
          <cell r="A167">
            <v>327000</v>
          </cell>
          <cell r="B167" t="str">
            <v>Arrendamiento de activos intangibles</v>
          </cell>
          <cell r="C167" t="str">
            <v>N</v>
          </cell>
        </row>
        <row r="168">
          <cell r="A168">
            <v>327001</v>
          </cell>
          <cell r="B168" t="str">
            <v>Arrendamiento de activos intangibles</v>
          </cell>
          <cell r="C168" t="str">
            <v>S</v>
          </cell>
        </row>
        <row r="169">
          <cell r="A169">
            <v>328000</v>
          </cell>
          <cell r="B169" t="str">
            <v>Arrendamiento financiero</v>
          </cell>
          <cell r="C169" t="str">
            <v>N</v>
          </cell>
        </row>
        <row r="170">
          <cell r="A170">
            <v>328001</v>
          </cell>
          <cell r="B170" t="str">
            <v>Arrendamiento financiero</v>
          </cell>
          <cell r="C170" t="str">
            <v>S</v>
          </cell>
        </row>
        <row r="171">
          <cell r="A171">
            <v>328002</v>
          </cell>
          <cell r="B171" t="str">
            <v>Programa Estatal de Arrendamiento Vehicular</v>
          </cell>
          <cell r="C171" t="str">
            <v>S</v>
          </cell>
        </row>
        <row r="172">
          <cell r="A172">
            <v>329000</v>
          </cell>
          <cell r="B172" t="str">
            <v>Otros arrendamientos</v>
          </cell>
          <cell r="C172" t="str">
            <v>N</v>
          </cell>
        </row>
        <row r="173">
          <cell r="A173">
            <v>329001</v>
          </cell>
          <cell r="B173" t="str">
            <v>Arrendamientos especiales</v>
          </cell>
          <cell r="C173" t="str">
            <v>S</v>
          </cell>
        </row>
        <row r="174">
          <cell r="A174">
            <v>330000</v>
          </cell>
          <cell r="B174" t="str">
            <v>SERVICIOS PROFESIONALES, CIENTÍFICOS, TÉCNICOS Y OTROS SERVICIOS</v>
          </cell>
          <cell r="C174" t="str">
            <v>N</v>
          </cell>
        </row>
        <row r="175">
          <cell r="A175">
            <v>331000</v>
          </cell>
          <cell r="B175" t="str">
            <v>Servicios legales, de contabilidad, auditoría y relacionados</v>
          </cell>
          <cell r="C175" t="str">
            <v>N</v>
          </cell>
        </row>
        <row r="176">
          <cell r="A176">
            <v>331001</v>
          </cell>
          <cell r="B176" t="str">
            <v>Asesorías</v>
          </cell>
          <cell r="C176" t="str">
            <v>S</v>
          </cell>
        </row>
        <row r="177">
          <cell r="A177">
            <v>331002</v>
          </cell>
          <cell r="B177" t="str">
            <v>Servicios Notariales</v>
          </cell>
          <cell r="C177" t="str">
            <v>S</v>
          </cell>
        </row>
        <row r="178">
          <cell r="A178">
            <v>331003</v>
          </cell>
          <cell r="B178" t="str">
            <v>Consultoría y Gestión</v>
          </cell>
          <cell r="C178" t="str">
            <v>S</v>
          </cell>
        </row>
        <row r="179">
          <cell r="A179">
            <v>332000</v>
          </cell>
          <cell r="B179" t="str">
            <v>Servicios de diseño, arquitectura, ingeniería y actividades relacionadas</v>
          </cell>
          <cell r="C179" t="str">
            <v>N</v>
          </cell>
        </row>
        <row r="180">
          <cell r="A180">
            <v>332001</v>
          </cell>
          <cell r="B180" t="str">
            <v>Servicios de diseño, arquitectura, ingeniería y actividades relacionadas</v>
          </cell>
          <cell r="C180" t="str">
            <v>S</v>
          </cell>
        </row>
        <row r="181">
          <cell r="A181">
            <v>333000</v>
          </cell>
          <cell r="B181" t="str">
            <v>Servicios de consultoría administrativa, procesos, técnica y en tecnologías de la información</v>
          </cell>
          <cell r="C181" t="str">
            <v>N</v>
          </cell>
        </row>
        <row r="182">
          <cell r="A182">
            <v>333001</v>
          </cell>
          <cell r="B182" t="str">
            <v>Estudios e investigaciones</v>
          </cell>
          <cell r="C182" t="str">
            <v>S</v>
          </cell>
        </row>
        <row r="183">
          <cell r="A183">
            <v>333002</v>
          </cell>
          <cell r="B183" t="str">
            <v>Sistematización de la Armonización Contable y Presupuestal</v>
          </cell>
          <cell r="C183" t="str">
            <v>S</v>
          </cell>
        </row>
        <row r="184">
          <cell r="A184">
            <v>333003</v>
          </cell>
          <cell r="B184" t="str">
            <v>Servicios de consultoría administrativa, procesos, técnica y en tecnologías de la información</v>
          </cell>
          <cell r="C184" t="str">
            <v>S</v>
          </cell>
        </row>
        <row r="185">
          <cell r="A185">
            <v>334000</v>
          </cell>
          <cell r="B185" t="str">
            <v>Servicios de capacitación</v>
          </cell>
          <cell r="C185" t="str">
            <v>N</v>
          </cell>
        </row>
        <row r="186">
          <cell r="A186">
            <v>334001</v>
          </cell>
          <cell r="B186" t="str">
            <v>Cuotas e inscripciones</v>
          </cell>
          <cell r="C186" t="str">
            <v>S</v>
          </cell>
        </row>
        <row r="187">
          <cell r="A187">
            <v>334002</v>
          </cell>
          <cell r="B187" t="str">
            <v>Servicios de Capacitación</v>
          </cell>
          <cell r="C187" t="str">
            <v>S</v>
          </cell>
        </row>
        <row r="188">
          <cell r="A188">
            <v>335000</v>
          </cell>
          <cell r="B188" t="str">
            <v>Servicios de investigación científica y desarrollo</v>
          </cell>
          <cell r="C188" t="str">
            <v>N</v>
          </cell>
        </row>
        <row r="189">
          <cell r="A189">
            <v>335001</v>
          </cell>
          <cell r="B189" t="str">
            <v>Servicios de investigación científica y desarrollo</v>
          </cell>
          <cell r="C189" t="str">
            <v>S</v>
          </cell>
        </row>
        <row r="190">
          <cell r="A190">
            <v>336000</v>
          </cell>
          <cell r="B190" t="str">
            <v>Servicios de apoyo administrativo, traducción, fotocopiado e impresión</v>
          </cell>
          <cell r="C190" t="str">
            <v>N</v>
          </cell>
        </row>
        <row r="191">
          <cell r="A191">
            <v>336001</v>
          </cell>
          <cell r="B191" t="str">
            <v>Servicio de Fotocopiado, Enmicado y Encuadernación de Documentos.</v>
          </cell>
          <cell r="C191" t="str">
            <v>S</v>
          </cell>
        </row>
        <row r="192">
          <cell r="A192">
            <v>336002</v>
          </cell>
          <cell r="B192" t="str">
            <v>Servicio de Impresión y Elaboración de Material Informativo</v>
          </cell>
          <cell r="C192" t="str">
            <v>S</v>
          </cell>
        </row>
        <row r="193">
          <cell r="A193">
            <v>337000</v>
          </cell>
          <cell r="B193" t="str">
            <v>Servicios de protección y seguridad</v>
          </cell>
          <cell r="C193" t="str">
            <v>N</v>
          </cell>
        </row>
        <row r="194">
          <cell r="A194">
            <v>337001</v>
          </cell>
          <cell r="B194" t="str">
            <v>Dispositivo de seguridad pública</v>
          </cell>
          <cell r="C194" t="str">
            <v>S</v>
          </cell>
        </row>
        <row r="195">
          <cell r="A195">
            <v>338000</v>
          </cell>
          <cell r="B195" t="str">
            <v>Servicios de vigilancia</v>
          </cell>
          <cell r="C195" t="str">
            <v>N</v>
          </cell>
        </row>
        <row r="196">
          <cell r="A196">
            <v>338001</v>
          </cell>
          <cell r="B196" t="str">
            <v>Servicio de seguridad privada</v>
          </cell>
          <cell r="C196" t="str">
            <v>S</v>
          </cell>
        </row>
        <row r="197">
          <cell r="A197">
            <v>339000</v>
          </cell>
          <cell r="B197" t="str">
            <v>Servicios profesionales, científicos y técnicos integrales</v>
          </cell>
          <cell r="C197" t="str">
            <v>N</v>
          </cell>
        </row>
        <row r="198">
          <cell r="A198">
            <v>339001</v>
          </cell>
          <cell r="B198" t="str">
            <v>Servicios profesionales, científicos y técnicos integrales</v>
          </cell>
          <cell r="C198" t="str">
            <v>S</v>
          </cell>
        </row>
        <row r="199">
          <cell r="A199">
            <v>340000</v>
          </cell>
          <cell r="B199" t="str">
            <v>SERVICIOS FINANCIEROS, BANCARIOS Y COMERCIALES</v>
          </cell>
          <cell r="C199" t="str">
            <v>N</v>
          </cell>
        </row>
        <row r="200">
          <cell r="A200">
            <v>341000</v>
          </cell>
          <cell r="B200" t="str">
            <v>Servicios financieros y bancarios</v>
          </cell>
          <cell r="C200" t="str">
            <v>N</v>
          </cell>
        </row>
        <row r="201">
          <cell r="A201">
            <v>341001</v>
          </cell>
          <cell r="B201" t="str">
            <v>Comisiones, descuentos y otros servicios bancarios</v>
          </cell>
          <cell r="C201" t="str">
            <v>S</v>
          </cell>
        </row>
        <row r="202">
          <cell r="A202">
            <v>342000</v>
          </cell>
          <cell r="B202" t="str">
            <v>Servicios de cobranza, investigación crediticia y similar</v>
          </cell>
          <cell r="C202" t="str">
            <v>N</v>
          </cell>
        </row>
        <row r="203">
          <cell r="A203">
            <v>342001</v>
          </cell>
          <cell r="B203" t="str">
            <v>Servicios de cobranza, investigación crediticia y similar</v>
          </cell>
          <cell r="C203" t="str">
            <v>S</v>
          </cell>
        </row>
        <row r="204">
          <cell r="A204">
            <v>343000</v>
          </cell>
          <cell r="B204" t="str">
            <v>Servicios de recaudación, traslado y custodia de valores</v>
          </cell>
          <cell r="C204" t="str">
            <v>N</v>
          </cell>
        </row>
        <row r="205">
          <cell r="A205">
            <v>343001</v>
          </cell>
          <cell r="B205" t="str">
            <v>Servicios de recaudación, traslado y custodia de valores</v>
          </cell>
          <cell r="C205" t="str">
            <v>S</v>
          </cell>
        </row>
        <row r="206">
          <cell r="A206">
            <v>344000</v>
          </cell>
          <cell r="B206" t="str">
            <v>Seguros de responsabilidad patrimonial y fianzas</v>
          </cell>
          <cell r="C206" t="str">
            <v>N</v>
          </cell>
        </row>
        <row r="207">
          <cell r="A207">
            <v>344001</v>
          </cell>
          <cell r="B207" t="str">
            <v>Seguros de responsabilidad patrimonial y fianzas</v>
          </cell>
          <cell r="C207" t="str">
            <v>S</v>
          </cell>
        </row>
        <row r="208">
          <cell r="A208">
            <v>345000</v>
          </cell>
          <cell r="B208" t="str">
            <v>Seguro de bienes patrimoniales</v>
          </cell>
          <cell r="C208" t="str">
            <v>N</v>
          </cell>
        </row>
        <row r="209">
          <cell r="A209">
            <v>345001</v>
          </cell>
          <cell r="B209" t="str">
            <v>Seguros</v>
          </cell>
          <cell r="C209" t="str">
            <v>S</v>
          </cell>
        </row>
        <row r="210">
          <cell r="A210">
            <v>346000</v>
          </cell>
          <cell r="B210" t="str">
            <v>Almacenaje, envase y embalaje</v>
          </cell>
          <cell r="C210" t="str">
            <v>N</v>
          </cell>
        </row>
        <row r="211">
          <cell r="A211">
            <v>346001</v>
          </cell>
          <cell r="B211" t="str">
            <v>Almacenaje, envase y embalaje</v>
          </cell>
          <cell r="C211" t="str">
            <v>S</v>
          </cell>
        </row>
        <row r="212">
          <cell r="A212">
            <v>347000</v>
          </cell>
          <cell r="B212" t="str">
            <v>Fletes y maniobras</v>
          </cell>
          <cell r="C212" t="str">
            <v>N</v>
          </cell>
        </row>
        <row r="213">
          <cell r="A213">
            <v>347001</v>
          </cell>
          <cell r="B213" t="str">
            <v>Fletes, maniobras y almacenaje</v>
          </cell>
          <cell r="C213" t="str">
            <v>S</v>
          </cell>
        </row>
        <row r="214">
          <cell r="A214">
            <v>348000</v>
          </cell>
          <cell r="B214" t="str">
            <v>Comisiones por ventas</v>
          </cell>
          <cell r="C214" t="str">
            <v>N</v>
          </cell>
        </row>
        <row r="215">
          <cell r="A215">
            <v>348001</v>
          </cell>
          <cell r="B215" t="str">
            <v>Comisiones por ventas</v>
          </cell>
          <cell r="C215" t="str">
            <v>S</v>
          </cell>
        </row>
        <row r="216">
          <cell r="A216">
            <v>349000</v>
          </cell>
          <cell r="B216" t="str">
            <v>Servicios financieros, bancarios y comerciales integrales</v>
          </cell>
          <cell r="C216" t="str">
            <v>N</v>
          </cell>
        </row>
        <row r="217">
          <cell r="A217">
            <v>349001</v>
          </cell>
          <cell r="B217" t="str">
            <v>Servicios financieros, bancarios y comerciales integrales</v>
          </cell>
          <cell r="C217" t="str">
            <v>S</v>
          </cell>
        </row>
        <row r="218">
          <cell r="A218">
            <v>350000</v>
          </cell>
          <cell r="B218" t="str">
            <v>SERVICIOS DE INSTALACIÓN, REPARACIÓN, MANTENIMIENTO Y CONSERVACIÓN</v>
          </cell>
          <cell r="C218" t="str">
            <v>N</v>
          </cell>
        </row>
        <row r="219">
          <cell r="A219">
            <v>351000</v>
          </cell>
          <cell r="B219" t="str">
            <v>Conservación y mantenimiento menor de inmuebles</v>
          </cell>
          <cell r="C219" t="str">
            <v>N</v>
          </cell>
        </row>
        <row r="220">
          <cell r="A220">
            <v>351001</v>
          </cell>
          <cell r="B220" t="str">
            <v>Mantenimiento de inmuebles</v>
          </cell>
          <cell r="C220" t="str">
            <v>S</v>
          </cell>
        </row>
        <row r="221">
          <cell r="A221">
            <v>351002</v>
          </cell>
          <cell r="B221" t="str">
            <v>Fumigación de Inmuebles</v>
          </cell>
          <cell r="C221" t="str">
            <v>S</v>
          </cell>
        </row>
        <row r="222">
          <cell r="A222">
            <v>351003</v>
          </cell>
          <cell r="B222" t="str">
            <v>Mantto. y Conserv. de Inmuebles Sub Proc. Zona Norte</v>
          </cell>
          <cell r="C222" t="str">
            <v>S</v>
          </cell>
        </row>
        <row r="223">
          <cell r="A223">
            <v>352000</v>
          </cell>
          <cell r="B223" t="str">
            <v>Instalación, reparación y mantenimiento de mobiliario y equipo de administración, educacional y recreativo</v>
          </cell>
          <cell r="C223" t="str">
            <v>N</v>
          </cell>
        </row>
        <row r="224">
          <cell r="A224">
            <v>352001</v>
          </cell>
          <cell r="B224" t="str">
            <v>Mantenimiento de mobiliario y equipo</v>
          </cell>
          <cell r="C224" t="str">
            <v>S</v>
          </cell>
        </row>
        <row r="225">
          <cell r="A225">
            <v>352002</v>
          </cell>
          <cell r="B225" t="str">
            <v>Gastos de instalación</v>
          </cell>
          <cell r="C225" t="str">
            <v>S</v>
          </cell>
        </row>
        <row r="226">
          <cell r="A226">
            <v>352003</v>
          </cell>
          <cell r="B226" t="str">
            <v>Mantto. y Conservación Archivo General de Notarias del Gob. del Edo.</v>
          </cell>
          <cell r="C226" t="str">
            <v>S</v>
          </cell>
        </row>
        <row r="227">
          <cell r="A227">
            <v>353000</v>
          </cell>
          <cell r="B227" t="str">
            <v>Instalación, reparación y mantenimiento de equipo de cómputo y tecnología de la información</v>
          </cell>
          <cell r="C227" t="str">
            <v>N</v>
          </cell>
        </row>
        <row r="228">
          <cell r="A228">
            <v>353001</v>
          </cell>
          <cell r="B228" t="str">
            <v>Instalación, reparación y mantenimiento de equipo de cómputo y tecnología  de la información</v>
          </cell>
          <cell r="C228" t="str">
            <v>S</v>
          </cell>
        </row>
        <row r="229">
          <cell r="A229">
            <v>354000</v>
          </cell>
          <cell r="B229" t="str">
            <v>Instalación, reparación y mantenimiento de equipo e instrumental médico y de laboratorio</v>
          </cell>
          <cell r="C229" t="str">
            <v>N</v>
          </cell>
        </row>
        <row r="230">
          <cell r="A230">
            <v>354001</v>
          </cell>
          <cell r="B230" t="str">
            <v>Instalación, reparación y mantenimiento de equipo e instrumental médico y de laboratorio</v>
          </cell>
          <cell r="C230" t="str">
            <v>S</v>
          </cell>
        </row>
        <row r="231">
          <cell r="A231">
            <v>355000</v>
          </cell>
          <cell r="B231" t="str">
            <v>Reparación y mantenimiento de equipo de transporte</v>
          </cell>
          <cell r="C231" t="str">
            <v>N</v>
          </cell>
        </row>
        <row r="232">
          <cell r="A232">
            <v>355001</v>
          </cell>
          <cell r="B232" t="str">
            <v>Mantto. y conservación de vehículos terrestres, aéreos, marítimos, lacustres y fluviales</v>
          </cell>
          <cell r="C232" t="str">
            <v>S</v>
          </cell>
        </row>
        <row r="233">
          <cell r="A233">
            <v>356000</v>
          </cell>
          <cell r="B233" t="str">
            <v>Reparación y mantenimiento de equipo de defensa y seguridad</v>
          </cell>
          <cell r="C233" t="str">
            <v>N</v>
          </cell>
        </row>
        <row r="234">
          <cell r="A234">
            <v>356001</v>
          </cell>
          <cell r="B234" t="str">
            <v>Reparación y mantenimiento de equipo de defensa y seguridad</v>
          </cell>
          <cell r="C234" t="str">
            <v>S</v>
          </cell>
        </row>
        <row r="235">
          <cell r="A235">
            <v>357000</v>
          </cell>
          <cell r="B235" t="str">
            <v>Instalación, reparación y mantenimiento de maquinaria, otros equipos y herramienta</v>
          </cell>
          <cell r="C235" t="str">
            <v>N</v>
          </cell>
        </row>
        <row r="236">
          <cell r="A236">
            <v>357001</v>
          </cell>
          <cell r="B236" t="str">
            <v>Instalación, reparación y mantenimiento de Equipo de Telecomunicaciones</v>
          </cell>
          <cell r="C236" t="str">
            <v>S</v>
          </cell>
        </row>
        <row r="237">
          <cell r="A237">
            <v>357002</v>
          </cell>
          <cell r="B237" t="str">
            <v>Instalación, reparación y mantenimiento de maquinaria, otros equipos y herramienta</v>
          </cell>
          <cell r="C237" t="str">
            <v>S</v>
          </cell>
        </row>
        <row r="238">
          <cell r="A238">
            <v>358000</v>
          </cell>
          <cell r="B238" t="str">
            <v>Servicios de limpieza y manejo de desechos</v>
          </cell>
          <cell r="C238" t="str">
            <v>N</v>
          </cell>
        </row>
        <row r="239">
          <cell r="A239">
            <v>358001</v>
          </cell>
          <cell r="B239" t="str">
            <v>Servicios de higiene y limpieza</v>
          </cell>
          <cell r="C239" t="str">
            <v>S</v>
          </cell>
        </row>
        <row r="240">
          <cell r="A240">
            <v>358002</v>
          </cell>
          <cell r="B240" t="str">
            <v>Servicios de Limpieza y Lavado de Vehículos</v>
          </cell>
          <cell r="C240" t="str">
            <v>S</v>
          </cell>
        </row>
        <row r="241">
          <cell r="A241">
            <v>358003</v>
          </cell>
          <cell r="B241" t="str">
            <v>Servicios de Lavandería</v>
          </cell>
          <cell r="C241" t="str">
            <v>S</v>
          </cell>
        </row>
        <row r="242">
          <cell r="A242">
            <v>359000</v>
          </cell>
          <cell r="B242" t="str">
            <v>Servicios de jardinería y fumigación</v>
          </cell>
          <cell r="C242" t="str">
            <v>N</v>
          </cell>
        </row>
        <row r="243">
          <cell r="A243">
            <v>359001</v>
          </cell>
          <cell r="B243" t="str">
            <v>Árboles, plantas, semillas y abonos</v>
          </cell>
          <cell r="C243" t="str">
            <v>S</v>
          </cell>
        </row>
        <row r="244">
          <cell r="A244">
            <v>359002</v>
          </cell>
          <cell r="B244" t="str">
            <v>Fumigación de áreas verdes</v>
          </cell>
          <cell r="C244" t="str">
            <v>S</v>
          </cell>
        </row>
        <row r="245">
          <cell r="A245">
            <v>360000</v>
          </cell>
          <cell r="B245" t="str">
            <v>SERVICIOS DE COMUNICACIÓN SOCIAL Y PUBLICIDAD</v>
          </cell>
          <cell r="C245" t="str">
            <v>N</v>
          </cell>
        </row>
        <row r="246">
          <cell r="A246">
            <v>361000</v>
          </cell>
          <cell r="B246" t="str">
            <v>Difusión por radio, televisión y otros medios de mensajes sobre programas y actividades gubernamentales</v>
          </cell>
          <cell r="C246" t="str">
            <v>N</v>
          </cell>
        </row>
        <row r="247">
          <cell r="A247">
            <v>361001</v>
          </cell>
          <cell r="B247" t="str">
            <v>Gastos de difusión</v>
          </cell>
          <cell r="C247" t="str">
            <v>S</v>
          </cell>
        </row>
        <row r="248">
          <cell r="A248">
            <v>361002</v>
          </cell>
          <cell r="B248" t="str">
            <v>Impresiones y publicaciones oficiales</v>
          </cell>
          <cell r="C248" t="str">
            <v>S</v>
          </cell>
        </row>
        <row r="249">
          <cell r="A249">
            <v>361003</v>
          </cell>
          <cell r="B249" t="str">
            <v>Rotulaciones oficiales</v>
          </cell>
          <cell r="C249" t="str">
            <v>S</v>
          </cell>
        </row>
        <row r="250">
          <cell r="A250">
            <v>361004</v>
          </cell>
          <cell r="B250" t="str">
            <v>Publicación de convocatorias</v>
          </cell>
          <cell r="C250" t="str">
            <v>S</v>
          </cell>
        </row>
        <row r="251">
          <cell r="A251">
            <v>362000</v>
          </cell>
          <cell r="B251" t="str">
            <v>Difusión por radio, televisión y otros medios de mensajes comerciales para promover la venta de bienes o servicios</v>
          </cell>
          <cell r="C251" t="str">
            <v>N</v>
          </cell>
        </row>
        <row r="252">
          <cell r="A252">
            <v>362001</v>
          </cell>
          <cell r="B252" t="str">
            <v>Difusión por radio, televisión y otros medios de mensajes comerciales para promover la venta de bienes o servicios</v>
          </cell>
          <cell r="C252" t="str">
            <v>S</v>
          </cell>
        </row>
        <row r="253">
          <cell r="A253">
            <v>362002</v>
          </cell>
          <cell r="B253" t="str">
            <v>Difusión por radio, televisión y otros medios de mensajes comerciales para promover la venta de bienes o servicios, fuera del país</v>
          </cell>
          <cell r="C253" t="str">
            <v>S</v>
          </cell>
        </row>
        <row r="254">
          <cell r="A254">
            <v>363000</v>
          </cell>
          <cell r="B254" t="str">
            <v>Servicios de creatividad, preproducción y producción de publicidad, excepto Internet</v>
          </cell>
          <cell r="C254" t="str">
            <v>N</v>
          </cell>
        </row>
        <row r="255">
          <cell r="A255">
            <v>363001</v>
          </cell>
          <cell r="B255" t="str">
            <v>Servicios de Producción y Diseño Publicitario</v>
          </cell>
          <cell r="C255" t="str">
            <v>S</v>
          </cell>
        </row>
        <row r="256">
          <cell r="A256">
            <v>364000</v>
          </cell>
          <cell r="B256" t="str">
            <v>Servicios de revelado de fotografías</v>
          </cell>
          <cell r="C256" t="str">
            <v>N</v>
          </cell>
        </row>
        <row r="257">
          <cell r="A257">
            <v>364001</v>
          </cell>
          <cell r="B257" t="str">
            <v>Revelado de Fotografías</v>
          </cell>
          <cell r="C257" t="str">
            <v>S</v>
          </cell>
        </row>
        <row r="258">
          <cell r="A258">
            <v>365000</v>
          </cell>
          <cell r="B258" t="str">
            <v>Servicios de la industria fílmica, del sonido y del video</v>
          </cell>
          <cell r="C258" t="str">
            <v>N</v>
          </cell>
        </row>
        <row r="259">
          <cell r="A259">
            <v>365001</v>
          </cell>
          <cell r="B259" t="str">
            <v>Servicios de la industria fílmica, del sonido y del video</v>
          </cell>
          <cell r="C259" t="str">
            <v>S</v>
          </cell>
        </row>
        <row r="260">
          <cell r="A260">
            <v>366000</v>
          </cell>
          <cell r="B260" t="str">
            <v>Servicio de creación y difusión de contenido exclusivamente a través de Internet</v>
          </cell>
          <cell r="C260" t="str">
            <v>N</v>
          </cell>
        </row>
        <row r="261">
          <cell r="A261">
            <v>366001</v>
          </cell>
          <cell r="B261" t="str">
            <v>Gastos de difusión a través de internet</v>
          </cell>
          <cell r="C261" t="str">
            <v>S</v>
          </cell>
        </row>
        <row r="262">
          <cell r="A262">
            <v>369000</v>
          </cell>
          <cell r="B262" t="str">
            <v>Otros servicios de información</v>
          </cell>
          <cell r="C262" t="str">
            <v>N</v>
          </cell>
        </row>
        <row r="263">
          <cell r="A263">
            <v>369001</v>
          </cell>
          <cell r="B263" t="str">
            <v>Monitoreo de Información y Encuestas</v>
          </cell>
          <cell r="C263" t="str">
            <v>S</v>
          </cell>
        </row>
        <row r="264">
          <cell r="A264">
            <v>370000</v>
          </cell>
          <cell r="B264" t="str">
            <v>SERVICIOS DE TRASLADO Y VIÁTICOS</v>
          </cell>
          <cell r="C264" t="str">
            <v>N</v>
          </cell>
        </row>
        <row r="265">
          <cell r="A265">
            <v>371000</v>
          </cell>
          <cell r="B265" t="str">
            <v>Pasajes aéreos</v>
          </cell>
          <cell r="C265" t="str">
            <v>N</v>
          </cell>
        </row>
        <row r="266">
          <cell r="A266">
            <v>371001</v>
          </cell>
          <cell r="B266" t="str">
            <v>Pasajes aéreos</v>
          </cell>
          <cell r="C266" t="str">
            <v>S</v>
          </cell>
        </row>
        <row r="267">
          <cell r="A267">
            <v>372000</v>
          </cell>
          <cell r="B267" t="str">
            <v>Pasajes terrestres</v>
          </cell>
          <cell r="C267" t="str">
            <v>N</v>
          </cell>
        </row>
        <row r="268">
          <cell r="A268">
            <v>372001</v>
          </cell>
          <cell r="B268" t="str">
            <v>Pasajes terrestres</v>
          </cell>
          <cell r="C268" t="str">
            <v>S</v>
          </cell>
        </row>
        <row r="269">
          <cell r="A269">
            <v>373000</v>
          </cell>
          <cell r="B269" t="str">
            <v>Pasajes marítimos, lacustres y fluviales</v>
          </cell>
          <cell r="C269" t="str">
            <v>N</v>
          </cell>
        </row>
        <row r="270">
          <cell r="A270">
            <v>373001</v>
          </cell>
          <cell r="B270" t="str">
            <v>Pasajes marítimos</v>
          </cell>
          <cell r="C270" t="str">
            <v>S</v>
          </cell>
        </row>
        <row r="271">
          <cell r="A271">
            <v>374000</v>
          </cell>
          <cell r="B271" t="str">
            <v>Autotransporte</v>
          </cell>
          <cell r="C271" t="str">
            <v>N</v>
          </cell>
        </row>
        <row r="272">
          <cell r="A272">
            <v>374001</v>
          </cell>
          <cell r="B272" t="str">
            <v>Autotransporte</v>
          </cell>
          <cell r="C272" t="str">
            <v>S</v>
          </cell>
        </row>
        <row r="273">
          <cell r="A273">
            <v>375000</v>
          </cell>
          <cell r="B273" t="str">
            <v>Viáticos en el país</v>
          </cell>
          <cell r="C273" t="str">
            <v>N</v>
          </cell>
        </row>
        <row r="274">
          <cell r="A274">
            <v>375001</v>
          </cell>
          <cell r="B274" t="str">
            <v>Viáticos</v>
          </cell>
          <cell r="C274" t="str">
            <v>S</v>
          </cell>
        </row>
        <row r="275">
          <cell r="A275">
            <v>376000</v>
          </cell>
          <cell r="B275" t="str">
            <v>Viáticos en el extranjero</v>
          </cell>
          <cell r="C275" t="str">
            <v>N</v>
          </cell>
        </row>
        <row r="276">
          <cell r="A276">
            <v>376001</v>
          </cell>
          <cell r="B276" t="str">
            <v>Viáticos en el extranjero</v>
          </cell>
          <cell r="C276" t="str">
            <v>S</v>
          </cell>
        </row>
        <row r="277">
          <cell r="A277">
            <v>377000</v>
          </cell>
          <cell r="B277" t="str">
            <v>Gastos de instalación y traslado de menaje</v>
          </cell>
          <cell r="C277" t="str">
            <v>N</v>
          </cell>
        </row>
        <row r="278">
          <cell r="A278">
            <v>377001</v>
          </cell>
          <cell r="B278" t="str">
            <v>Gastos de instalación y traslado de menaje</v>
          </cell>
          <cell r="C278" t="str">
            <v>S</v>
          </cell>
        </row>
        <row r="279">
          <cell r="A279">
            <v>378000</v>
          </cell>
          <cell r="B279" t="str">
            <v>Servicios integrales de traslado y viáticos</v>
          </cell>
          <cell r="C279" t="str">
            <v>N</v>
          </cell>
        </row>
        <row r="280">
          <cell r="A280">
            <v>378001</v>
          </cell>
          <cell r="B280" t="str">
            <v>Diligencias judiciales</v>
          </cell>
          <cell r="C280" t="str">
            <v>S</v>
          </cell>
        </row>
        <row r="281">
          <cell r="A281">
            <v>379000</v>
          </cell>
          <cell r="B281" t="str">
            <v>Otros servicios de traslado y hospedaje</v>
          </cell>
          <cell r="C281" t="str">
            <v>N</v>
          </cell>
        </row>
        <row r="282">
          <cell r="A282">
            <v>379001</v>
          </cell>
          <cell r="B282" t="str">
            <v>Traslado de vehículos</v>
          </cell>
          <cell r="C282" t="str">
            <v>S</v>
          </cell>
        </row>
        <row r="283">
          <cell r="A283">
            <v>379002</v>
          </cell>
          <cell r="B283" t="str">
            <v>Gastos de traslado de personas</v>
          </cell>
          <cell r="C283" t="str">
            <v>S</v>
          </cell>
        </row>
        <row r="284">
          <cell r="A284">
            <v>379003</v>
          </cell>
          <cell r="B284" t="str">
            <v>Hospedaje de personas</v>
          </cell>
          <cell r="C284" t="str">
            <v>S</v>
          </cell>
        </row>
        <row r="285">
          <cell r="A285">
            <v>380000</v>
          </cell>
          <cell r="B285" t="str">
            <v>SERVICIOS OFICIALES</v>
          </cell>
          <cell r="C285" t="str">
            <v>N</v>
          </cell>
        </row>
        <row r="286">
          <cell r="A286">
            <v>381000</v>
          </cell>
          <cell r="B286" t="str">
            <v>Gastos de ceremonial</v>
          </cell>
          <cell r="C286" t="str">
            <v>N</v>
          </cell>
        </row>
        <row r="287">
          <cell r="A287">
            <v>381001</v>
          </cell>
          <cell r="B287" t="str">
            <v>Atención a personalidades nacionales y extranjeras</v>
          </cell>
          <cell r="C287" t="str">
            <v>S</v>
          </cell>
        </row>
        <row r="288">
          <cell r="A288">
            <v>382000</v>
          </cell>
          <cell r="B288" t="str">
            <v>Gastos de orden social y cultural</v>
          </cell>
          <cell r="C288" t="str">
            <v>N</v>
          </cell>
        </row>
        <row r="289">
          <cell r="A289">
            <v>382001</v>
          </cell>
          <cell r="B289" t="str">
            <v>Espectáculos y actividades culturales</v>
          </cell>
          <cell r="C289" t="str">
            <v>S</v>
          </cell>
        </row>
        <row r="290">
          <cell r="A290">
            <v>382002</v>
          </cell>
          <cell r="B290" t="str">
            <v>Gastos de recepción, conmemorativos y de orden social</v>
          </cell>
          <cell r="C290" t="str">
            <v>S</v>
          </cell>
        </row>
        <row r="291">
          <cell r="A291">
            <v>382003</v>
          </cell>
          <cell r="B291" t="str">
            <v>Adaptaciones para eventos sociales y culturales</v>
          </cell>
          <cell r="C291" t="str">
            <v>S</v>
          </cell>
        </row>
        <row r="292">
          <cell r="A292">
            <v>382004</v>
          </cell>
          <cell r="B292" t="str">
            <v>Festividades y Eventos</v>
          </cell>
          <cell r="C292" t="str">
            <v>S</v>
          </cell>
        </row>
        <row r="293">
          <cell r="A293">
            <v>383000</v>
          </cell>
          <cell r="B293" t="str">
            <v>Congresos y convenciones</v>
          </cell>
          <cell r="C293" t="str">
            <v>N</v>
          </cell>
        </row>
        <row r="294">
          <cell r="A294">
            <v>383001</v>
          </cell>
          <cell r="B294" t="str">
            <v>Congresos y convenciones</v>
          </cell>
          <cell r="C294" t="str">
            <v>S</v>
          </cell>
        </row>
        <row r="295">
          <cell r="A295">
            <v>384000</v>
          </cell>
          <cell r="B295" t="str">
            <v>Exposiciones</v>
          </cell>
          <cell r="C295" t="str">
            <v>N</v>
          </cell>
        </row>
        <row r="296">
          <cell r="A296">
            <v>384001</v>
          </cell>
          <cell r="B296" t="str">
            <v>Exposiciones</v>
          </cell>
          <cell r="C296" t="str">
            <v>S</v>
          </cell>
        </row>
        <row r="297">
          <cell r="A297">
            <v>385000</v>
          </cell>
          <cell r="B297" t="str">
            <v>Gastos de representación</v>
          </cell>
          <cell r="C297" t="str">
            <v>N</v>
          </cell>
        </row>
        <row r="298">
          <cell r="A298">
            <v>385001</v>
          </cell>
          <cell r="B298" t="str">
            <v>Gastos de representación</v>
          </cell>
          <cell r="C298" t="str">
            <v>S</v>
          </cell>
        </row>
        <row r="299">
          <cell r="A299">
            <v>390000</v>
          </cell>
          <cell r="B299" t="str">
            <v>OTROS SERVICIOS GENERALES</v>
          </cell>
          <cell r="C299" t="str">
            <v>N</v>
          </cell>
        </row>
        <row r="300">
          <cell r="A300">
            <v>391000</v>
          </cell>
          <cell r="B300" t="str">
            <v>Servicios funerarios y de cementerios</v>
          </cell>
          <cell r="C300" t="str">
            <v>N</v>
          </cell>
        </row>
        <row r="301">
          <cell r="A301">
            <v>391001</v>
          </cell>
          <cell r="B301" t="str">
            <v>Servicios funerarios y de cementerios</v>
          </cell>
          <cell r="C301" t="str">
            <v>S</v>
          </cell>
        </row>
        <row r="302">
          <cell r="A302">
            <v>392000</v>
          </cell>
          <cell r="B302" t="str">
            <v>Impuestos y derechos</v>
          </cell>
          <cell r="C302" t="str">
            <v>N</v>
          </cell>
        </row>
        <row r="303">
          <cell r="A303">
            <v>392001</v>
          </cell>
          <cell r="B303" t="str">
            <v>Impuestos y derechos</v>
          </cell>
          <cell r="C303" t="str">
            <v>S</v>
          </cell>
        </row>
        <row r="304">
          <cell r="A304">
            <v>393000</v>
          </cell>
          <cell r="B304" t="str">
            <v>Impuestos y derechos de importación</v>
          </cell>
          <cell r="C304" t="str">
            <v>N</v>
          </cell>
        </row>
        <row r="305">
          <cell r="A305">
            <v>393001</v>
          </cell>
          <cell r="B305" t="str">
            <v>Impuestos y derechos de importación</v>
          </cell>
          <cell r="C305" t="str">
            <v>S</v>
          </cell>
        </row>
        <row r="306">
          <cell r="A306">
            <v>394000</v>
          </cell>
          <cell r="B306" t="str">
            <v>Sentencias y resoluciones judiciales</v>
          </cell>
          <cell r="C306" t="str">
            <v>N</v>
          </cell>
        </row>
        <row r="307">
          <cell r="A307">
            <v>394001</v>
          </cell>
          <cell r="B307" t="str">
            <v>Sentencias y resoluciones judiciales</v>
          </cell>
          <cell r="C307" t="str">
            <v>S</v>
          </cell>
        </row>
        <row r="308">
          <cell r="A308">
            <v>395000</v>
          </cell>
          <cell r="B308" t="str">
            <v>Penas, multas, accesorios y actualizaciones</v>
          </cell>
          <cell r="C308" t="str">
            <v>N</v>
          </cell>
        </row>
        <row r="309">
          <cell r="A309">
            <v>395001</v>
          </cell>
          <cell r="B309" t="str">
            <v>Penas, multas, accesorios y actualizaciones</v>
          </cell>
          <cell r="C309" t="str">
            <v>S</v>
          </cell>
        </row>
        <row r="310">
          <cell r="A310">
            <v>396000</v>
          </cell>
          <cell r="B310" t="str">
            <v>Otros gastos por responsabilidades</v>
          </cell>
          <cell r="C310" t="str">
            <v>N</v>
          </cell>
        </row>
        <row r="311">
          <cell r="A311">
            <v>396001</v>
          </cell>
          <cell r="B311" t="str">
            <v>Otros gastos por responsabilidades</v>
          </cell>
          <cell r="C311" t="str">
            <v>S</v>
          </cell>
        </row>
        <row r="312">
          <cell r="A312">
            <v>399000</v>
          </cell>
          <cell r="B312" t="str">
            <v>Otros servicios generales</v>
          </cell>
          <cell r="C312" t="str">
            <v>N</v>
          </cell>
        </row>
        <row r="313">
          <cell r="A313">
            <v>399001</v>
          </cell>
          <cell r="B313" t="str">
            <v>Gastos menores</v>
          </cell>
          <cell r="C313" t="str">
            <v>S</v>
          </cell>
        </row>
        <row r="314">
          <cell r="A314">
            <v>399002</v>
          </cell>
          <cell r="B314" t="str">
            <v>Retribuciones a reos</v>
          </cell>
          <cell r="C314" t="str">
            <v>S</v>
          </cell>
        </row>
        <row r="315">
          <cell r="A315">
            <v>399003</v>
          </cell>
          <cell r="B315" t="str">
            <v>Otros servicios de la administración pública</v>
          </cell>
          <cell r="C315" t="str">
            <v>S</v>
          </cell>
        </row>
        <row r="316">
          <cell r="A316">
            <v>399004</v>
          </cell>
          <cell r="B316" t="str">
            <v>Previsión Arrendamientos</v>
          </cell>
          <cell r="C316" t="str">
            <v>Prev</v>
          </cell>
        </row>
        <row r="317">
          <cell r="A317">
            <v>500000</v>
          </cell>
          <cell r="B317" t="str">
            <v>BIENES MUEBLES, INMUEBLES E INTANGIBLES</v>
          </cell>
          <cell r="C317" t="str">
            <v>N</v>
          </cell>
        </row>
        <row r="318">
          <cell r="A318">
            <v>510000</v>
          </cell>
          <cell r="B318" t="str">
            <v>MOBILIARIO Y EQUIPO DE ADMINISTRACIÓN</v>
          </cell>
          <cell r="C318" t="str">
            <v>N</v>
          </cell>
        </row>
        <row r="319">
          <cell r="A319">
            <v>511000</v>
          </cell>
          <cell r="B319" t="str">
            <v>Muebles de oficina y estantería</v>
          </cell>
          <cell r="C319" t="str">
            <v>N</v>
          </cell>
        </row>
        <row r="320">
          <cell r="A320">
            <v>511001</v>
          </cell>
          <cell r="B320" t="str">
            <v>Mobiliario</v>
          </cell>
          <cell r="C320" t="str">
            <v>S</v>
          </cell>
        </row>
        <row r="321">
          <cell r="A321">
            <v>512000</v>
          </cell>
          <cell r="B321" t="str">
            <v>Muebles, excepto de oficina y estantería</v>
          </cell>
          <cell r="C321" t="str">
            <v>N</v>
          </cell>
        </row>
        <row r="322">
          <cell r="A322">
            <v>512001</v>
          </cell>
          <cell r="B322" t="str">
            <v>Muebles, excepto de oficina y estantería</v>
          </cell>
          <cell r="C322" t="str">
            <v>S</v>
          </cell>
        </row>
        <row r="323">
          <cell r="A323">
            <v>513000</v>
          </cell>
          <cell r="B323" t="str">
            <v>Bienes artísticos, culturales y científicos</v>
          </cell>
          <cell r="C323" t="str">
            <v>N</v>
          </cell>
        </row>
        <row r="324">
          <cell r="A324">
            <v>513001</v>
          </cell>
          <cell r="B324" t="str">
            <v>Bienes artísticos y culturales</v>
          </cell>
          <cell r="C324" t="str">
            <v>S</v>
          </cell>
        </row>
        <row r="325">
          <cell r="A325">
            <v>514000</v>
          </cell>
          <cell r="B325" t="str">
            <v>Objetos de valor</v>
          </cell>
          <cell r="C325" t="str">
            <v>N</v>
          </cell>
        </row>
        <row r="326">
          <cell r="A326">
            <v>514001</v>
          </cell>
          <cell r="B326" t="str">
            <v>Objetos de valor</v>
          </cell>
          <cell r="C326" t="str">
            <v>S</v>
          </cell>
        </row>
        <row r="327">
          <cell r="A327">
            <v>515000</v>
          </cell>
          <cell r="B327" t="str">
            <v>Equipo de cómputo y de tecnologías de la información</v>
          </cell>
          <cell r="C327" t="str">
            <v>N</v>
          </cell>
        </row>
        <row r="328">
          <cell r="A328">
            <v>515001</v>
          </cell>
          <cell r="B328" t="str">
            <v>Equipo de administración</v>
          </cell>
          <cell r="C328" t="str">
            <v>S</v>
          </cell>
        </row>
        <row r="329">
          <cell r="A329">
            <v>515002</v>
          </cell>
          <cell r="B329" t="str">
            <v>Equipo de Cómputo y Aparatos de Uso Informático</v>
          </cell>
          <cell r="C329" t="str">
            <v>S</v>
          </cell>
        </row>
        <row r="330">
          <cell r="A330">
            <v>515003</v>
          </cell>
          <cell r="B330" t="str">
            <v>Sistemas de Rastreo Satelital (GPS)</v>
          </cell>
          <cell r="C330" t="str">
            <v>S</v>
          </cell>
        </row>
        <row r="331">
          <cell r="A331">
            <v>519000</v>
          </cell>
          <cell r="B331" t="str">
            <v>Otros mobiliarios y equipos de administración</v>
          </cell>
          <cell r="C331" t="str">
            <v>N</v>
          </cell>
        </row>
        <row r="332">
          <cell r="A332">
            <v>519001</v>
          </cell>
          <cell r="B332" t="str">
            <v>Cámaras y Circuitos Cerrados de Seguridad</v>
          </cell>
          <cell r="C332" t="str">
            <v>S</v>
          </cell>
        </row>
        <row r="333">
          <cell r="A333">
            <v>519002</v>
          </cell>
          <cell r="B333" t="str">
            <v>Equipos de Audio</v>
          </cell>
          <cell r="C333" t="str">
            <v>S</v>
          </cell>
        </row>
        <row r="334">
          <cell r="A334">
            <v>519003</v>
          </cell>
          <cell r="B334" t="str">
            <v>Otras Herramientas, Mobiliarios y Eq. De Administración</v>
          </cell>
          <cell r="C334" t="str">
            <v>S</v>
          </cell>
        </row>
        <row r="335">
          <cell r="A335">
            <v>519004</v>
          </cell>
          <cell r="B335" t="str">
            <v>Aulas Móviles de Vigilancia</v>
          </cell>
          <cell r="C335" t="str">
            <v>S</v>
          </cell>
        </row>
        <row r="336">
          <cell r="A336">
            <v>520000</v>
          </cell>
          <cell r="B336" t="str">
            <v>MOBILIARIO Y EQUIPO EDUCACIONAL Y RECREATIVO</v>
          </cell>
          <cell r="C336" t="str">
            <v>N</v>
          </cell>
        </row>
        <row r="337">
          <cell r="A337">
            <v>521000</v>
          </cell>
          <cell r="B337" t="str">
            <v>Equipos y aparatos audiovisuales</v>
          </cell>
          <cell r="C337" t="str">
            <v>N</v>
          </cell>
        </row>
        <row r="338">
          <cell r="A338">
            <v>521001</v>
          </cell>
          <cell r="B338" t="str">
            <v>Equipo educacional y recreativo</v>
          </cell>
          <cell r="C338" t="str">
            <v>S</v>
          </cell>
        </row>
        <row r="339">
          <cell r="A339">
            <v>522000</v>
          </cell>
          <cell r="B339" t="str">
            <v>Aparatos deportivos</v>
          </cell>
          <cell r="C339" t="str">
            <v>N</v>
          </cell>
        </row>
        <row r="340">
          <cell r="A340">
            <v>522001</v>
          </cell>
          <cell r="B340" t="str">
            <v>Aparatos deportivos</v>
          </cell>
          <cell r="C340" t="str">
            <v>S</v>
          </cell>
        </row>
        <row r="341">
          <cell r="A341">
            <v>523000</v>
          </cell>
          <cell r="B341" t="str">
            <v>Cámaras fotográficas y de video</v>
          </cell>
          <cell r="C341" t="str">
            <v>N</v>
          </cell>
        </row>
        <row r="342">
          <cell r="A342">
            <v>523001</v>
          </cell>
          <cell r="B342" t="str">
            <v>Cámaras Fotográficas</v>
          </cell>
          <cell r="C342" t="str">
            <v>S</v>
          </cell>
        </row>
        <row r="343">
          <cell r="A343">
            <v>523002</v>
          </cell>
          <cell r="B343" t="str">
            <v>Cámaras de Video</v>
          </cell>
          <cell r="C343" t="str">
            <v>S</v>
          </cell>
        </row>
        <row r="344">
          <cell r="A344">
            <v>529000</v>
          </cell>
          <cell r="B344" t="str">
            <v>Otro mobiliario y equipo educacional y recreativo</v>
          </cell>
          <cell r="C344" t="str">
            <v>N</v>
          </cell>
        </row>
        <row r="345">
          <cell r="A345">
            <v>529001</v>
          </cell>
          <cell r="B345" t="str">
            <v>Instrumentos Musicales</v>
          </cell>
          <cell r="C345" t="str">
            <v>S</v>
          </cell>
        </row>
        <row r="346">
          <cell r="A346">
            <v>529002</v>
          </cell>
          <cell r="B346" t="str">
            <v>Equipo Educacional</v>
          </cell>
          <cell r="C346" t="str">
            <v>S</v>
          </cell>
        </row>
        <row r="347">
          <cell r="A347">
            <v>530000</v>
          </cell>
          <cell r="B347" t="str">
            <v>EQUIPO E INSTRUMENTAL MÉDICO Y DE LABORATORIO</v>
          </cell>
          <cell r="C347" t="str">
            <v>N</v>
          </cell>
        </row>
        <row r="348">
          <cell r="A348">
            <v>531000</v>
          </cell>
          <cell r="B348" t="str">
            <v>Equipo médico y de laboratorio</v>
          </cell>
          <cell r="C348" t="str">
            <v>N</v>
          </cell>
        </row>
        <row r="349">
          <cell r="A349">
            <v>531001</v>
          </cell>
          <cell r="B349" t="str">
            <v>Equipo e instrumental medico</v>
          </cell>
          <cell r="C349" t="str">
            <v>S</v>
          </cell>
        </row>
        <row r="350">
          <cell r="A350">
            <v>532000</v>
          </cell>
          <cell r="B350" t="str">
            <v>Instrumental médico y de laboratorio</v>
          </cell>
          <cell r="C350" t="str">
            <v>N</v>
          </cell>
        </row>
        <row r="351">
          <cell r="A351">
            <v>532001</v>
          </cell>
          <cell r="B351" t="str">
            <v>Instrumental médico y de laboratorio</v>
          </cell>
          <cell r="C351" t="str">
            <v>S</v>
          </cell>
        </row>
        <row r="352">
          <cell r="A352">
            <v>540000</v>
          </cell>
          <cell r="B352" t="str">
            <v>VEHÍCULOS Y EQUIPO DE TRANSPORTE</v>
          </cell>
          <cell r="C352" t="str">
            <v>N</v>
          </cell>
        </row>
        <row r="353">
          <cell r="A353">
            <v>541000</v>
          </cell>
          <cell r="B353" t="str">
            <v>Automóviles y camiones</v>
          </cell>
          <cell r="C353" t="str">
            <v>N</v>
          </cell>
        </row>
        <row r="354">
          <cell r="A354">
            <v>541001</v>
          </cell>
          <cell r="B354" t="str">
            <v>Vehículos y equipo terrestre</v>
          </cell>
          <cell r="C354" t="str">
            <v>S</v>
          </cell>
        </row>
        <row r="355">
          <cell r="A355">
            <v>542000</v>
          </cell>
          <cell r="B355" t="str">
            <v>Carrocerías y remolques</v>
          </cell>
          <cell r="C355" t="str">
            <v>N</v>
          </cell>
        </row>
        <row r="356">
          <cell r="A356">
            <v>542001</v>
          </cell>
          <cell r="B356" t="str">
            <v>Carrocerías y remolques</v>
          </cell>
          <cell r="C356" t="str">
            <v>S</v>
          </cell>
        </row>
        <row r="357">
          <cell r="A357">
            <v>543000</v>
          </cell>
          <cell r="B357" t="str">
            <v>Equipo aeroespacial</v>
          </cell>
          <cell r="C357" t="str">
            <v>N</v>
          </cell>
        </row>
        <row r="358">
          <cell r="A358">
            <v>543001</v>
          </cell>
          <cell r="B358" t="str">
            <v>Vehículos y equipo de transporte aéreo</v>
          </cell>
          <cell r="C358" t="str">
            <v>S</v>
          </cell>
        </row>
        <row r="359">
          <cell r="A359">
            <v>544000</v>
          </cell>
          <cell r="B359" t="str">
            <v>Equipo ferroviario</v>
          </cell>
          <cell r="C359" t="str">
            <v>N</v>
          </cell>
        </row>
        <row r="360">
          <cell r="A360">
            <v>544001</v>
          </cell>
          <cell r="B360" t="str">
            <v>Equipo ferroviario</v>
          </cell>
          <cell r="C360" t="str">
            <v>S</v>
          </cell>
        </row>
        <row r="361">
          <cell r="A361">
            <v>545000</v>
          </cell>
          <cell r="B361" t="str">
            <v>Embarcaciones</v>
          </cell>
          <cell r="C361" t="str">
            <v>N</v>
          </cell>
        </row>
        <row r="362">
          <cell r="A362">
            <v>545001</v>
          </cell>
          <cell r="B362" t="str">
            <v>Vehículos y equipo marino</v>
          </cell>
          <cell r="C362" t="str">
            <v>S</v>
          </cell>
        </row>
        <row r="363">
          <cell r="A363">
            <v>549000</v>
          </cell>
          <cell r="B363" t="str">
            <v>Otros Equipos de Transporte</v>
          </cell>
          <cell r="C363" t="str">
            <v>N</v>
          </cell>
        </row>
        <row r="364">
          <cell r="A364">
            <v>549001</v>
          </cell>
          <cell r="B364" t="str">
            <v>Otros equipos de transporte</v>
          </cell>
          <cell r="C364" t="str">
            <v>S</v>
          </cell>
        </row>
        <row r="365">
          <cell r="A365">
            <v>550000</v>
          </cell>
          <cell r="B365" t="str">
            <v>EQUIPO DE DEFENSA Y SEGURIDAD</v>
          </cell>
          <cell r="C365" t="str">
            <v>N</v>
          </cell>
        </row>
        <row r="366">
          <cell r="A366">
            <v>551000</v>
          </cell>
          <cell r="B366" t="str">
            <v>Equipo de defensa y seguridad</v>
          </cell>
          <cell r="C366" t="str">
            <v>N</v>
          </cell>
        </row>
        <row r="367">
          <cell r="A367">
            <v>551001</v>
          </cell>
          <cell r="B367" t="str">
            <v>Equipo de defensa y seguridad pública</v>
          </cell>
          <cell r="C367" t="str">
            <v>S</v>
          </cell>
        </row>
        <row r="368">
          <cell r="A368">
            <v>560000</v>
          </cell>
          <cell r="B368" t="str">
            <v>MAQUINARIA, OTROS EQUIPOS Y HERRAMIENTAS</v>
          </cell>
          <cell r="C368" t="str">
            <v>N</v>
          </cell>
        </row>
        <row r="369">
          <cell r="A369">
            <v>561000</v>
          </cell>
          <cell r="B369" t="str">
            <v>Maquinaria y equipo agropecuario</v>
          </cell>
          <cell r="C369" t="str">
            <v>N</v>
          </cell>
        </row>
        <row r="370">
          <cell r="A370">
            <v>561001</v>
          </cell>
          <cell r="B370" t="str">
            <v>Maquinaria y equipo agropecuario, industrial y de construcción</v>
          </cell>
          <cell r="C370" t="str">
            <v>S</v>
          </cell>
        </row>
        <row r="371">
          <cell r="A371">
            <v>562000</v>
          </cell>
          <cell r="B371" t="str">
            <v>Maquinaria y equipo industrial</v>
          </cell>
          <cell r="C371" t="str">
            <v>N</v>
          </cell>
        </row>
        <row r="372">
          <cell r="A372">
            <v>562001</v>
          </cell>
          <cell r="B372" t="str">
            <v>Bombas Industriales</v>
          </cell>
          <cell r="C372" t="str">
            <v>S</v>
          </cell>
        </row>
        <row r="373">
          <cell r="A373">
            <v>563000</v>
          </cell>
          <cell r="B373" t="str">
            <v>Maquinaria y equipo de construcción</v>
          </cell>
          <cell r="C373" t="str">
            <v>N</v>
          </cell>
        </row>
        <row r="374">
          <cell r="A374">
            <v>563001</v>
          </cell>
          <cell r="B374" t="str">
            <v>Maquinaria y equipo de construcción</v>
          </cell>
          <cell r="C374" t="str">
            <v>S</v>
          </cell>
        </row>
        <row r="375">
          <cell r="A375">
            <v>564000</v>
          </cell>
          <cell r="B375" t="str">
            <v>Sistemas de aire acondicionado, calefacción y de refrigeración industrial y comercial</v>
          </cell>
          <cell r="C375" t="str">
            <v>N</v>
          </cell>
        </row>
        <row r="376">
          <cell r="A376">
            <v>564001</v>
          </cell>
          <cell r="B376" t="str">
            <v>Sistemas de aire acondicionado, calefacción y de refrigeración industrial y comercial</v>
          </cell>
          <cell r="C376" t="str">
            <v>S</v>
          </cell>
        </row>
        <row r="377">
          <cell r="A377">
            <v>565000</v>
          </cell>
          <cell r="B377" t="str">
            <v>Equipo de comunicación y telecomunicación</v>
          </cell>
          <cell r="C377" t="str">
            <v>N</v>
          </cell>
        </row>
        <row r="378">
          <cell r="A378">
            <v>565001</v>
          </cell>
          <cell r="B378" t="str">
            <v>Maq. y equipo de telecomunicaciones, eléctrica y electrónica</v>
          </cell>
          <cell r="C378" t="str">
            <v>S</v>
          </cell>
        </row>
        <row r="379">
          <cell r="A379">
            <v>566000</v>
          </cell>
          <cell r="B379" t="str">
            <v>Equipos de generación eléctrica, aparatos y accesorios eléctricos</v>
          </cell>
          <cell r="C379" t="str">
            <v>N</v>
          </cell>
        </row>
        <row r="380">
          <cell r="A380">
            <v>566001</v>
          </cell>
          <cell r="B380" t="str">
            <v>Equipos de generación eléctrica</v>
          </cell>
          <cell r="C380" t="str">
            <v>S</v>
          </cell>
        </row>
        <row r="381">
          <cell r="A381">
            <v>566002</v>
          </cell>
          <cell r="B381" t="str">
            <v>Aparatos y Accesorios eléctricos</v>
          </cell>
          <cell r="C381" t="str">
            <v>S</v>
          </cell>
        </row>
        <row r="382">
          <cell r="A382">
            <v>567000</v>
          </cell>
          <cell r="B382" t="str">
            <v>Herramientas y máquinas-herramienta</v>
          </cell>
          <cell r="C382" t="str">
            <v>N</v>
          </cell>
        </row>
        <row r="383">
          <cell r="A383">
            <v>567001</v>
          </cell>
          <cell r="B383" t="str">
            <v>Herramientas y refacciones mayores</v>
          </cell>
          <cell r="C383" t="str">
            <v>S</v>
          </cell>
        </row>
        <row r="384">
          <cell r="A384">
            <v>569000</v>
          </cell>
          <cell r="B384" t="str">
            <v>Otros equipos</v>
          </cell>
          <cell r="C384" t="str">
            <v>N</v>
          </cell>
        </row>
        <row r="385">
          <cell r="A385">
            <v>569001</v>
          </cell>
          <cell r="B385" t="str">
            <v>Maquinaria y equipo diverso</v>
          </cell>
          <cell r="C385" t="str">
            <v>S</v>
          </cell>
        </row>
        <row r="386">
          <cell r="A386">
            <v>570000</v>
          </cell>
          <cell r="B386" t="str">
            <v>ACTIVOS BIOLÓGICOS</v>
          </cell>
          <cell r="C386" t="str">
            <v>N</v>
          </cell>
        </row>
        <row r="387">
          <cell r="A387">
            <v>571000</v>
          </cell>
          <cell r="B387" t="str">
            <v>Bovinos</v>
          </cell>
          <cell r="C387" t="str">
            <v>N</v>
          </cell>
        </row>
        <row r="388">
          <cell r="A388">
            <v>571001</v>
          </cell>
          <cell r="B388" t="str">
            <v>Bovinos</v>
          </cell>
          <cell r="C388" t="str">
            <v>S</v>
          </cell>
        </row>
        <row r="389">
          <cell r="A389">
            <v>572000</v>
          </cell>
          <cell r="B389" t="str">
            <v>Porcinos</v>
          </cell>
          <cell r="C389" t="str">
            <v>N</v>
          </cell>
        </row>
        <row r="390">
          <cell r="A390">
            <v>572001</v>
          </cell>
          <cell r="B390" t="str">
            <v>Porcinos</v>
          </cell>
          <cell r="C390" t="str">
            <v>S</v>
          </cell>
        </row>
        <row r="391">
          <cell r="A391">
            <v>573000</v>
          </cell>
          <cell r="B391" t="str">
            <v>Aves</v>
          </cell>
          <cell r="C391" t="str">
            <v>N</v>
          </cell>
        </row>
        <row r="392">
          <cell r="A392">
            <v>573001</v>
          </cell>
          <cell r="B392" t="str">
            <v>Aves</v>
          </cell>
          <cell r="C392" t="str">
            <v>S</v>
          </cell>
        </row>
        <row r="393">
          <cell r="A393">
            <v>574000</v>
          </cell>
          <cell r="B393" t="str">
            <v>Ovinos y caprinos</v>
          </cell>
          <cell r="C393" t="str">
            <v>N</v>
          </cell>
        </row>
        <row r="394">
          <cell r="A394">
            <v>574001</v>
          </cell>
          <cell r="B394" t="str">
            <v>Ovinos y caprinos</v>
          </cell>
          <cell r="C394" t="str">
            <v>S</v>
          </cell>
        </row>
        <row r="395">
          <cell r="A395">
            <v>575000</v>
          </cell>
          <cell r="B395" t="str">
            <v>Peces y acuicultura</v>
          </cell>
          <cell r="C395" t="str">
            <v>N</v>
          </cell>
        </row>
        <row r="396">
          <cell r="A396">
            <v>575001</v>
          </cell>
          <cell r="B396" t="str">
            <v>Peces y acuicultura</v>
          </cell>
          <cell r="C396" t="str">
            <v>S</v>
          </cell>
        </row>
        <row r="397">
          <cell r="A397">
            <v>576000</v>
          </cell>
          <cell r="B397" t="str">
            <v>Equinos</v>
          </cell>
          <cell r="C397" t="str">
            <v>N</v>
          </cell>
        </row>
        <row r="398">
          <cell r="A398">
            <v>576001</v>
          </cell>
          <cell r="B398" t="str">
            <v>Equinos</v>
          </cell>
          <cell r="C398" t="str">
            <v>S</v>
          </cell>
        </row>
        <row r="399">
          <cell r="A399">
            <v>577000</v>
          </cell>
          <cell r="B399" t="str">
            <v>Especies menores y de zoológico</v>
          </cell>
          <cell r="C399" t="str">
            <v>N</v>
          </cell>
        </row>
        <row r="400">
          <cell r="A400">
            <v>577001</v>
          </cell>
          <cell r="B400" t="str">
            <v>Especies menores y de zoológico</v>
          </cell>
          <cell r="C400" t="str">
            <v>S</v>
          </cell>
        </row>
        <row r="401">
          <cell r="A401">
            <v>578000</v>
          </cell>
          <cell r="B401" t="str">
            <v>Árboles y plantas</v>
          </cell>
          <cell r="C401" t="str">
            <v>N</v>
          </cell>
        </row>
        <row r="402">
          <cell r="A402">
            <v>578001</v>
          </cell>
          <cell r="B402" t="str">
            <v>Árboles y plantas</v>
          </cell>
          <cell r="C402" t="str">
            <v>S</v>
          </cell>
        </row>
        <row r="403">
          <cell r="A403">
            <v>579000</v>
          </cell>
          <cell r="B403" t="str">
            <v>Otros activos biológicos</v>
          </cell>
          <cell r="C403" t="str">
            <v>N</v>
          </cell>
        </row>
        <row r="404">
          <cell r="A404">
            <v>579001</v>
          </cell>
          <cell r="B404" t="str">
            <v>Otros activos biológicos</v>
          </cell>
          <cell r="C404" t="str">
            <v>S</v>
          </cell>
        </row>
        <row r="405">
          <cell r="A405">
            <v>580000</v>
          </cell>
          <cell r="B405" t="str">
            <v>BIENES INMUEBLES</v>
          </cell>
          <cell r="C405" t="str">
            <v>N</v>
          </cell>
        </row>
        <row r="406">
          <cell r="A406">
            <v>581000</v>
          </cell>
          <cell r="B406" t="str">
            <v>Terrenos</v>
          </cell>
          <cell r="C406" t="str">
            <v>N</v>
          </cell>
        </row>
        <row r="407">
          <cell r="A407">
            <v>581001</v>
          </cell>
          <cell r="B407" t="str">
            <v>Terrenos</v>
          </cell>
          <cell r="C407" t="str">
            <v>S</v>
          </cell>
        </row>
        <row r="408">
          <cell r="A408">
            <v>582000</v>
          </cell>
          <cell r="B408" t="str">
            <v>Viviendas</v>
          </cell>
          <cell r="C408" t="str">
            <v>N</v>
          </cell>
        </row>
        <row r="409">
          <cell r="A409">
            <v>582001</v>
          </cell>
          <cell r="B409" t="str">
            <v>Viviendas</v>
          </cell>
          <cell r="C409" t="str">
            <v>S</v>
          </cell>
        </row>
        <row r="410">
          <cell r="A410">
            <v>583000</v>
          </cell>
          <cell r="B410" t="str">
            <v>Edificios no residenciales</v>
          </cell>
          <cell r="C410" t="str">
            <v>N</v>
          </cell>
        </row>
        <row r="411">
          <cell r="A411">
            <v>583001</v>
          </cell>
          <cell r="B411" t="str">
            <v>Edificios y locales</v>
          </cell>
          <cell r="C411" t="str">
            <v>S</v>
          </cell>
        </row>
        <row r="412">
          <cell r="A412">
            <v>589000</v>
          </cell>
          <cell r="B412" t="str">
            <v>Otros bienes inmuebles</v>
          </cell>
          <cell r="C412" t="str">
            <v>N</v>
          </cell>
        </row>
        <row r="413">
          <cell r="A413">
            <v>589001</v>
          </cell>
          <cell r="B413" t="str">
            <v>Adjudicaciones, expropiaciones e indemnizaciones de inmuebles</v>
          </cell>
          <cell r="C413" t="str">
            <v>S</v>
          </cell>
        </row>
        <row r="414">
          <cell r="A414">
            <v>590000</v>
          </cell>
          <cell r="B414" t="str">
            <v>ACTIVOS INTANGIBLES</v>
          </cell>
          <cell r="C414" t="str">
            <v>N</v>
          </cell>
        </row>
        <row r="415">
          <cell r="A415">
            <v>591000</v>
          </cell>
          <cell r="B415" t="str">
            <v>Software</v>
          </cell>
          <cell r="C415" t="str">
            <v>N</v>
          </cell>
        </row>
        <row r="416">
          <cell r="A416">
            <v>591001</v>
          </cell>
          <cell r="B416" t="str">
            <v>Software</v>
          </cell>
          <cell r="C416" t="str">
            <v>S</v>
          </cell>
        </row>
        <row r="417">
          <cell r="A417">
            <v>592000</v>
          </cell>
          <cell r="B417" t="str">
            <v>Patentes</v>
          </cell>
          <cell r="C417" t="str">
            <v>N</v>
          </cell>
        </row>
        <row r="418">
          <cell r="A418">
            <v>592001</v>
          </cell>
          <cell r="B418" t="str">
            <v>Patentes</v>
          </cell>
          <cell r="C418" t="str">
            <v>S</v>
          </cell>
        </row>
        <row r="419">
          <cell r="A419">
            <v>593000</v>
          </cell>
          <cell r="B419" t="str">
            <v>Marcas</v>
          </cell>
          <cell r="C419" t="str">
            <v>N</v>
          </cell>
        </row>
        <row r="420">
          <cell r="A420">
            <v>593001</v>
          </cell>
          <cell r="B420" t="str">
            <v>Marcas</v>
          </cell>
          <cell r="C420" t="str">
            <v>S</v>
          </cell>
        </row>
        <row r="421">
          <cell r="A421">
            <v>594000</v>
          </cell>
          <cell r="B421" t="str">
            <v>Derechos</v>
          </cell>
          <cell r="C421" t="str">
            <v>N</v>
          </cell>
        </row>
        <row r="422">
          <cell r="A422">
            <v>594001</v>
          </cell>
          <cell r="B422" t="str">
            <v>Derechos</v>
          </cell>
          <cell r="C422" t="str">
            <v>S</v>
          </cell>
        </row>
        <row r="423">
          <cell r="A423">
            <v>595000</v>
          </cell>
          <cell r="B423" t="str">
            <v>Concesiones</v>
          </cell>
          <cell r="C423" t="str">
            <v>N</v>
          </cell>
        </row>
        <row r="424">
          <cell r="A424">
            <v>595001</v>
          </cell>
          <cell r="B424" t="str">
            <v>Concesiones</v>
          </cell>
          <cell r="C424" t="str">
            <v>S</v>
          </cell>
        </row>
        <row r="425">
          <cell r="A425">
            <v>596000</v>
          </cell>
          <cell r="B425" t="str">
            <v>Franquicias</v>
          </cell>
          <cell r="C425" t="str">
            <v>N</v>
          </cell>
        </row>
        <row r="426">
          <cell r="A426">
            <v>596001</v>
          </cell>
          <cell r="B426" t="str">
            <v>Franquicias</v>
          </cell>
          <cell r="C426" t="str">
            <v>S</v>
          </cell>
        </row>
        <row r="427">
          <cell r="A427">
            <v>597000</v>
          </cell>
          <cell r="B427" t="str">
            <v>Licencias informáticas e intelectuales</v>
          </cell>
          <cell r="C427" t="str">
            <v>N</v>
          </cell>
        </row>
        <row r="428">
          <cell r="A428">
            <v>597001</v>
          </cell>
          <cell r="B428" t="str">
            <v>Licencias para programas de antivirus</v>
          </cell>
          <cell r="C428" t="str">
            <v>S</v>
          </cell>
        </row>
        <row r="429">
          <cell r="A429">
            <v>597002</v>
          </cell>
          <cell r="B429" t="str">
            <v>Licencias Microsoft Windows server 2003 edición estándar</v>
          </cell>
          <cell r="C429" t="str">
            <v>S</v>
          </cell>
        </row>
        <row r="430">
          <cell r="A430">
            <v>598000</v>
          </cell>
          <cell r="B430" t="str">
            <v>Licencias industriales, comerciales y otras</v>
          </cell>
          <cell r="C430" t="str">
            <v>N</v>
          </cell>
        </row>
        <row r="431">
          <cell r="A431">
            <v>598001</v>
          </cell>
          <cell r="B431" t="str">
            <v>Licencias industriales, comerciales y otras</v>
          </cell>
          <cell r="C431" t="str">
            <v>S</v>
          </cell>
        </row>
        <row r="432">
          <cell r="A432">
            <v>599000</v>
          </cell>
          <cell r="B432" t="str">
            <v>Otros activos intangibles</v>
          </cell>
          <cell r="C432" t="str">
            <v>N</v>
          </cell>
        </row>
        <row r="433">
          <cell r="A433">
            <v>599001</v>
          </cell>
          <cell r="B433" t="str">
            <v>Otros activos intangibles</v>
          </cell>
          <cell r="C433" t="str">
            <v>S</v>
          </cell>
        </row>
      </sheetData>
      <sheetData sheetId="4">
        <row r="1">
          <cell r="A1" t="str">
            <v>NOMENCLATURA</v>
          </cell>
          <cell r="B1" t="str">
            <v>DESCRPCION</v>
          </cell>
          <cell r="C1"/>
          <cell r="D1"/>
        </row>
        <row r="2">
          <cell r="A2">
            <v>100</v>
          </cell>
          <cell r="B2" t="str">
            <v>INGRESOS PROPIOS Y APROVECHAMIENTOS</v>
          </cell>
          <cell r="C2"/>
          <cell r="D2"/>
        </row>
        <row r="3">
          <cell r="A3">
            <v>101</v>
          </cell>
          <cell r="B3" t="str">
            <v>INGRESOS PROPIOS (IMPUESTOS, DERECHOS, PRODUCTOS Y APROVECHAMIENTOS)</v>
          </cell>
          <cell r="C3"/>
          <cell r="D3"/>
        </row>
        <row r="4">
          <cell r="A4">
            <v>102</v>
          </cell>
          <cell r="B4" t="str">
            <v>INGRESOS PROPIOS</v>
          </cell>
          <cell r="C4"/>
          <cell r="D4"/>
        </row>
        <row r="5">
          <cell r="A5">
            <v>103</v>
          </cell>
          <cell r="B5" t="str">
            <v>INGRESOS PROPIOS APORTACIONES MUNICIPALES</v>
          </cell>
          <cell r="C5"/>
          <cell r="D5"/>
        </row>
        <row r="6">
          <cell r="A6">
            <v>104</v>
          </cell>
          <cell r="B6" t="str">
            <v>APROVECHAMIENTO POR EL USO DE LA I NFRAESTRUCTURA ESTATAL</v>
          </cell>
          <cell r="C6"/>
          <cell r="D6"/>
        </row>
        <row r="7">
          <cell r="A7">
            <v>110</v>
          </cell>
          <cell r="B7" t="str">
            <v>RECURSO F.O.I.S.</v>
          </cell>
          <cell r="C7"/>
          <cell r="D7"/>
        </row>
        <row r="8">
          <cell r="A8">
            <v>111</v>
          </cell>
          <cell r="B8" t="str">
            <v>RECURSO A.P.I.</v>
          </cell>
          <cell r="C8"/>
          <cell r="D8"/>
        </row>
        <row r="9">
          <cell r="A9">
            <v>130</v>
          </cell>
          <cell r="B9" t="str">
            <v>Reintegro con Ingresos Propios Ramo 28</v>
          </cell>
          <cell r="C9"/>
          <cell r="D9"/>
        </row>
        <row r="10">
          <cell r="A10">
            <v>136</v>
          </cell>
          <cell r="B10" t="str">
            <v>Reintegro con Ingresos Propios FONE</v>
          </cell>
          <cell r="C10"/>
          <cell r="D10"/>
        </row>
        <row r="11">
          <cell r="A11">
            <v>137</v>
          </cell>
          <cell r="B11" t="str">
            <v>Reintegro con Ingresos Propios FASSA</v>
          </cell>
          <cell r="C11"/>
          <cell r="D11"/>
        </row>
        <row r="12">
          <cell r="A12">
            <v>138</v>
          </cell>
          <cell r="B12" t="str">
            <v>Reintegro con Ingresos Propios FAIS/FISE</v>
          </cell>
          <cell r="C12"/>
          <cell r="D12"/>
        </row>
        <row r="13">
          <cell r="A13">
            <v>139</v>
          </cell>
          <cell r="B13" t="str">
            <v>Reintegro con Ingresos Propios FAIS/FISM</v>
          </cell>
          <cell r="C13"/>
          <cell r="D13"/>
        </row>
        <row r="14">
          <cell r="A14">
            <v>140</v>
          </cell>
          <cell r="B14" t="str">
            <v>Reintegro con Ingresos Propios FORTAMUN</v>
          </cell>
          <cell r="C14"/>
          <cell r="D14"/>
        </row>
        <row r="15">
          <cell r="A15">
            <v>141</v>
          </cell>
          <cell r="B15" t="str">
            <v>Reintegro con Ingresos Propios FAM/Asistencia Social</v>
          </cell>
          <cell r="C15"/>
          <cell r="D15"/>
        </row>
        <row r="16">
          <cell r="A16">
            <v>142</v>
          </cell>
          <cell r="B16" t="str">
            <v>Reintegro con Ingresos Propios FAM/Infraest. Educación Básica</v>
          </cell>
          <cell r="C16"/>
          <cell r="D16"/>
        </row>
        <row r="17">
          <cell r="A17">
            <v>143</v>
          </cell>
          <cell r="B17" t="str">
            <v>Reintegro con Ingresos Propios FAM/ Infraest. Educación Media Superior y Superior</v>
          </cell>
          <cell r="C17"/>
          <cell r="D17"/>
        </row>
        <row r="18">
          <cell r="A18">
            <v>145</v>
          </cell>
          <cell r="B18" t="str">
            <v>Reintegro con Ingresos Propios FAETA/Educ. Tecnológica (CONALEP)</v>
          </cell>
          <cell r="C18"/>
          <cell r="D18"/>
        </row>
        <row r="19">
          <cell r="A19">
            <v>146</v>
          </cell>
          <cell r="B19" t="str">
            <v>Reintegro con Ingresos Propios FAETA Educ. Adultos (IEEA)</v>
          </cell>
          <cell r="C19"/>
          <cell r="D19"/>
        </row>
        <row r="20">
          <cell r="A20">
            <v>147</v>
          </cell>
          <cell r="B20" t="str">
            <v>Reintegro con Ingresos Propios FASP</v>
          </cell>
          <cell r="C20"/>
          <cell r="D20"/>
        </row>
        <row r="21">
          <cell r="A21">
            <v>148</v>
          </cell>
          <cell r="B21" t="str">
            <v>Reintegro con Ingresos Propios FAFEF</v>
          </cell>
          <cell r="C21"/>
          <cell r="D21"/>
        </row>
        <row r="22">
          <cell r="A22">
            <v>149</v>
          </cell>
          <cell r="B22" t="str">
            <v>Reintegro con Ingresos Propios SEDATU</v>
          </cell>
          <cell r="C22"/>
          <cell r="D22"/>
        </row>
        <row r="23">
          <cell r="A23">
            <v>161</v>
          </cell>
          <cell r="B23" t="str">
            <v>Reintegro con Ingresos Propios CULTURA Ramo 48</v>
          </cell>
          <cell r="C23"/>
          <cell r="D23"/>
        </row>
        <row r="24">
          <cell r="A24">
            <v>162</v>
          </cell>
          <cell r="B24" t="str">
            <v>Reintegro con Ingresos Propios UABCS</v>
          </cell>
          <cell r="C24"/>
          <cell r="D24"/>
        </row>
        <row r="25">
          <cell r="A25">
            <v>163</v>
          </cell>
          <cell r="B25" t="str">
            <v>Reintegro con Ingresos Propios CONAGUA</v>
          </cell>
          <cell r="C25"/>
          <cell r="D25"/>
        </row>
        <row r="26">
          <cell r="A26">
            <v>164</v>
          </cell>
          <cell r="B26" t="str">
            <v>Reintegro con Ingresos Propios SEGOB</v>
          </cell>
          <cell r="C26"/>
          <cell r="D26"/>
        </row>
        <row r="27">
          <cell r="A27">
            <v>165</v>
          </cell>
          <cell r="B27" t="str">
            <v>Reintegro con Ingresos Propios SECTUR</v>
          </cell>
          <cell r="C27"/>
          <cell r="D27"/>
        </row>
        <row r="28">
          <cell r="A28">
            <v>166</v>
          </cell>
          <cell r="B28" t="str">
            <v>Reintegro con Ingresos Propios PROFIS</v>
          </cell>
          <cell r="C28"/>
          <cell r="D28"/>
        </row>
        <row r="29">
          <cell r="A29">
            <v>167</v>
          </cell>
          <cell r="B29" t="str">
            <v>Reintegro con Ingresos Propios SSP</v>
          </cell>
          <cell r="C29"/>
          <cell r="D29"/>
        </row>
        <row r="30">
          <cell r="A30">
            <v>168</v>
          </cell>
          <cell r="B30" t="str">
            <v>Reintegro con Ingresos Propios COBACH</v>
          </cell>
          <cell r="C30"/>
          <cell r="D30"/>
        </row>
        <row r="31">
          <cell r="A31">
            <v>169</v>
          </cell>
          <cell r="B31" t="str">
            <v>Reintegro con Ingresos Propios Fondo Proporcional Peso a Peso</v>
          </cell>
          <cell r="C31"/>
          <cell r="D31"/>
        </row>
        <row r="32">
          <cell r="A32">
            <v>170</v>
          </cell>
          <cell r="B32" t="str">
            <v>Reintegro con Ingresos Propios CECYTE</v>
          </cell>
          <cell r="C32"/>
          <cell r="D32"/>
        </row>
        <row r="33">
          <cell r="A33">
            <v>171</v>
          </cell>
          <cell r="B33" t="str">
            <v>Reintegro con Ingresos Propios Imp. Ref. Penal (SETEC)</v>
          </cell>
          <cell r="C33"/>
          <cell r="D33"/>
        </row>
        <row r="34">
          <cell r="A34">
            <v>172</v>
          </cell>
          <cell r="B34" t="str">
            <v>Reintegro con Ingresos Propios CONADE</v>
          </cell>
          <cell r="C34"/>
          <cell r="D34"/>
        </row>
        <row r="35">
          <cell r="A35">
            <v>173</v>
          </cell>
          <cell r="B35" t="str">
            <v>Reintegro con Ingresos Propios Conv. Salud (Ramo 12)</v>
          </cell>
          <cell r="C35"/>
          <cell r="D35"/>
        </row>
        <row r="36">
          <cell r="A36">
            <v>174</v>
          </cell>
          <cell r="B36" t="str">
            <v>Reintegro con Ingresos Propios Secretaría de Economía</v>
          </cell>
          <cell r="C36"/>
          <cell r="D36"/>
        </row>
        <row r="37">
          <cell r="A37">
            <v>177</v>
          </cell>
          <cell r="B37" t="str">
            <v>Reintegro con Ingresos Propios SUBSEMUN</v>
          </cell>
          <cell r="C37"/>
          <cell r="D37"/>
        </row>
        <row r="38">
          <cell r="A38">
            <v>178</v>
          </cell>
          <cell r="B38" t="str">
            <v>Reintegro con Ingresos Propios Fondo Para La Infraest. de los Estados</v>
          </cell>
          <cell r="C38"/>
          <cell r="D38"/>
        </row>
        <row r="39">
          <cell r="A39">
            <v>179</v>
          </cell>
          <cell r="B39" t="str">
            <v>Reintegro con Ingresos Propios Apoyo Financiero Ext. UABCS</v>
          </cell>
          <cell r="C39"/>
          <cell r="D39"/>
        </row>
        <row r="40">
          <cell r="A40">
            <v>180</v>
          </cell>
          <cell r="B40" t="str">
            <v>Reintegro con Ingresos Propios Apoyo Financiero Ext. ISIFE</v>
          </cell>
          <cell r="C40"/>
          <cell r="D40"/>
        </row>
        <row r="41">
          <cell r="A41">
            <v>181</v>
          </cell>
          <cell r="B41" t="str">
            <v>Reintegro con Ingresos Propios Subs. Policía Estatal Acreditable (SPA)</v>
          </cell>
          <cell r="C41"/>
          <cell r="D41"/>
        </row>
        <row r="42">
          <cell r="A42">
            <v>182</v>
          </cell>
          <cell r="B42" t="str">
            <v>Reintegro con Ingresos Propios PROASP</v>
          </cell>
          <cell r="C42"/>
          <cell r="D42"/>
        </row>
        <row r="43">
          <cell r="A43">
            <v>183</v>
          </cell>
          <cell r="B43" t="str">
            <v>Reintegro con Ingresos Propios Ingresos Extraordinarios</v>
          </cell>
          <cell r="C43"/>
          <cell r="D43"/>
        </row>
        <row r="44">
          <cell r="A44">
            <v>184</v>
          </cell>
          <cell r="B44" t="str">
            <v>Reintegro con Ingresos Propios Ingresos Derivados del 5 Al Millar (Obra)</v>
          </cell>
          <cell r="C44"/>
          <cell r="D44"/>
        </row>
        <row r="45">
          <cell r="A45">
            <v>185</v>
          </cell>
          <cell r="B45" t="str">
            <v>Reintegro con Ingresos Propios Ingresos Extraordinarios Ramo 23</v>
          </cell>
          <cell r="C45"/>
          <cell r="D45"/>
        </row>
        <row r="46">
          <cell r="A46">
            <v>186</v>
          </cell>
          <cell r="B46" t="str">
            <v>Reintegro con Ingresos Propios Ingresos Extraordinarios Ramo 21</v>
          </cell>
          <cell r="C46"/>
          <cell r="D46"/>
        </row>
        <row r="47">
          <cell r="A47">
            <v>187</v>
          </cell>
          <cell r="B47" t="str">
            <v>Reintegro con Ingresos Propios Ingresos Extraordinarios Sep. Ramo 11</v>
          </cell>
          <cell r="C47"/>
          <cell r="D47"/>
        </row>
        <row r="48">
          <cell r="A48">
            <v>188</v>
          </cell>
          <cell r="B48" t="str">
            <v>Reintegro con Ingresos Propios Ingresos Ext. Ramo 09 (SCT)</v>
          </cell>
          <cell r="C48"/>
          <cell r="D48"/>
        </row>
        <row r="49">
          <cell r="A49">
            <v>189</v>
          </cell>
          <cell r="B49" t="str">
            <v>Reintegro con Ingresos Propios Ingresos Ext. Ramo 16 (SEMARNAT)</v>
          </cell>
          <cell r="C49"/>
          <cell r="D49"/>
        </row>
        <row r="50">
          <cell r="A50">
            <v>201</v>
          </cell>
          <cell r="B50" t="str">
            <v>BONO CUPÓN CERO</v>
          </cell>
          <cell r="C50"/>
          <cell r="D50"/>
        </row>
        <row r="51">
          <cell r="A51">
            <v>500</v>
          </cell>
          <cell r="B51" t="str">
            <v>RECURSOS FEDERALES</v>
          </cell>
          <cell r="C51"/>
          <cell r="D51"/>
        </row>
        <row r="52">
          <cell r="A52">
            <v>530</v>
          </cell>
          <cell r="B52" t="str">
            <v>PARTICIPACIONES Ramo 28</v>
          </cell>
          <cell r="C52"/>
          <cell r="D52"/>
        </row>
        <row r="53">
          <cell r="A53">
            <v>535</v>
          </cell>
          <cell r="B53" t="str">
            <v>INTERESES BANCARIOS PROYECTADOS, RECURSOS FEDERALES</v>
          </cell>
          <cell r="C53"/>
          <cell r="D53"/>
        </row>
        <row r="54">
          <cell r="A54">
            <v>536</v>
          </cell>
          <cell r="B54" t="str">
            <v>FONE Ramo 33</v>
          </cell>
          <cell r="C54"/>
          <cell r="D54"/>
        </row>
        <row r="55">
          <cell r="A55">
            <v>537</v>
          </cell>
          <cell r="B55" t="str">
            <v>FASSA Ramo 33</v>
          </cell>
          <cell r="C55"/>
          <cell r="D55"/>
        </row>
        <row r="56">
          <cell r="A56">
            <v>538</v>
          </cell>
          <cell r="B56" t="str">
            <v>FAIS/FISE Ramo 33</v>
          </cell>
          <cell r="C56"/>
          <cell r="D56"/>
        </row>
        <row r="57">
          <cell r="A57">
            <v>539</v>
          </cell>
          <cell r="B57" t="str">
            <v>FAIS/FISM Ramo 33</v>
          </cell>
          <cell r="C57"/>
          <cell r="D57"/>
        </row>
        <row r="58">
          <cell r="A58">
            <v>540</v>
          </cell>
          <cell r="B58" t="str">
            <v>FORTAMUN Ramo 33</v>
          </cell>
          <cell r="C58"/>
          <cell r="D58"/>
        </row>
        <row r="59">
          <cell r="A59">
            <v>541</v>
          </cell>
          <cell r="B59" t="str">
            <v>FAM/ASISTENCIA SOCIAL Ramo 33</v>
          </cell>
          <cell r="C59"/>
          <cell r="D59"/>
        </row>
        <row r="60">
          <cell r="A60">
            <v>542</v>
          </cell>
          <cell r="B60" t="str">
            <v>FAM/INFRAESTRUCTURA DE EDUCACIÓN BÁSICA Ramo 33</v>
          </cell>
          <cell r="C60"/>
          <cell r="D60"/>
        </row>
        <row r="61">
          <cell r="A61">
            <v>543</v>
          </cell>
          <cell r="B61" t="str">
            <v>FAM/EDUCACIÓN MEDIA SUPERIOR Y SUPERIOR Ramo 33</v>
          </cell>
          <cell r="C61"/>
          <cell r="D61"/>
        </row>
        <row r="62">
          <cell r="A62">
            <v>545</v>
          </cell>
          <cell r="B62" t="str">
            <v>FAETA/EDUCACIÓN TECNOLÓGICA ( CONALEP) Ramo 33</v>
          </cell>
          <cell r="C62"/>
          <cell r="D62"/>
        </row>
        <row r="63">
          <cell r="A63">
            <v>546</v>
          </cell>
          <cell r="B63" t="str">
            <v>FAETA/EDUCACIÓN ADULTOS (IEEA) Ramo 33</v>
          </cell>
          <cell r="C63"/>
          <cell r="D63"/>
        </row>
        <row r="64">
          <cell r="A64">
            <v>547</v>
          </cell>
          <cell r="B64" t="str">
            <v>FASP Ramo 33</v>
          </cell>
          <cell r="C64"/>
          <cell r="D64"/>
        </row>
        <row r="65">
          <cell r="A65">
            <v>548</v>
          </cell>
          <cell r="B65" t="str">
            <v>FAFEF Ramo 33</v>
          </cell>
          <cell r="C65"/>
          <cell r="D65"/>
        </row>
        <row r="66">
          <cell r="A66">
            <v>549</v>
          </cell>
          <cell r="B66" t="str">
            <v>SRIA. DE DES. AGRARIO TERRITORIAL Y URBANO (SEDATU) Ramo 15</v>
          </cell>
          <cell r="C66"/>
          <cell r="D66"/>
        </row>
        <row r="67">
          <cell r="A67">
            <v>561</v>
          </cell>
          <cell r="B67" t="str">
            <v>CULTURA FEDERAL Ramo 48</v>
          </cell>
          <cell r="C67"/>
          <cell r="D67"/>
        </row>
        <row r="68">
          <cell r="A68">
            <v>562</v>
          </cell>
          <cell r="B68" t="str">
            <v>UNIVERSIDAD AUTÓNOMA DE B.C.S. Ramo 11</v>
          </cell>
          <cell r="C68"/>
          <cell r="D68"/>
        </row>
        <row r="69">
          <cell r="A69">
            <v>563</v>
          </cell>
          <cell r="B69" t="str">
            <v>CONAGUA Ramo 16</v>
          </cell>
          <cell r="C69"/>
          <cell r="D69"/>
        </row>
        <row r="70">
          <cell r="A70">
            <v>564</v>
          </cell>
          <cell r="B70" t="str">
            <v>SECRETARÍA DE GOBERNACIÓN Ramo 04</v>
          </cell>
          <cell r="C70"/>
          <cell r="D70"/>
        </row>
        <row r="71">
          <cell r="A71">
            <v>565</v>
          </cell>
          <cell r="B71" t="str">
            <v>SECRETARÍA DE TURISMO Ramo 21</v>
          </cell>
          <cell r="C71"/>
          <cell r="D71"/>
        </row>
        <row r="72">
          <cell r="A72">
            <v>566</v>
          </cell>
          <cell r="B72" t="str">
            <v>PROFIS</v>
          </cell>
          <cell r="C72"/>
          <cell r="D72"/>
        </row>
        <row r="73">
          <cell r="A73">
            <v>567</v>
          </cell>
          <cell r="B73" t="str">
            <v>SECRETARÍA DE SEGURIDAD PÚBLICA</v>
          </cell>
          <cell r="C73"/>
          <cell r="D73"/>
        </row>
        <row r="74">
          <cell r="A74">
            <v>568</v>
          </cell>
          <cell r="B74" t="str">
            <v>COBACH Ramo 11</v>
          </cell>
          <cell r="C74"/>
          <cell r="D74"/>
        </row>
        <row r="75">
          <cell r="A75">
            <v>569</v>
          </cell>
          <cell r="B75" t="str">
            <v>FONDO PROPORCIONAL PESO A PESO</v>
          </cell>
          <cell r="C75"/>
          <cell r="D75"/>
        </row>
        <row r="76">
          <cell r="A76">
            <v>570</v>
          </cell>
          <cell r="B76" t="str">
            <v>CECYTE Ramo 11</v>
          </cell>
          <cell r="C76"/>
          <cell r="D76"/>
        </row>
        <row r="77">
          <cell r="A77">
            <v>571</v>
          </cell>
          <cell r="B77" t="str">
            <v>IMPLEMENTACIÓN DE LA REFORMA PENAL (SETEC)</v>
          </cell>
          <cell r="C77"/>
          <cell r="D77"/>
        </row>
        <row r="78">
          <cell r="A78">
            <v>572</v>
          </cell>
          <cell r="B78" t="str">
            <v>CONADE Ramo 11</v>
          </cell>
          <cell r="C78"/>
          <cell r="D78"/>
        </row>
        <row r="79">
          <cell r="A79">
            <v>573</v>
          </cell>
          <cell r="B79" t="str">
            <v>CONVENIOS Ramo 12</v>
          </cell>
          <cell r="C79"/>
          <cell r="D79"/>
        </row>
        <row r="80">
          <cell r="A80">
            <v>574</v>
          </cell>
          <cell r="B80" t="str">
            <v>SECRETARÍA DE ECONOMÍA Ramo 10</v>
          </cell>
          <cell r="C80"/>
          <cell r="D80"/>
        </row>
        <row r="81">
          <cell r="A81">
            <v>577</v>
          </cell>
          <cell r="B81" t="str">
            <v>SUBSIDIO SEGURIDAD PÚBLICA MUNICIPAL</v>
          </cell>
          <cell r="C81"/>
          <cell r="D81"/>
        </row>
        <row r="82">
          <cell r="A82">
            <v>578</v>
          </cell>
          <cell r="B82" t="str">
            <v>FIDEICOMISO PARA LA INFRAESTRUCTURA DE LOS ESTADOS Ramo 23</v>
          </cell>
          <cell r="C82"/>
          <cell r="D82"/>
        </row>
        <row r="83">
          <cell r="A83">
            <v>579</v>
          </cell>
          <cell r="B83" t="str">
            <v>APOYO FINANCIERO EXTRAORDINARIO UABCS Ramo 11</v>
          </cell>
          <cell r="C83"/>
          <cell r="D83"/>
        </row>
        <row r="84">
          <cell r="A84">
            <v>580</v>
          </cell>
          <cell r="B84" t="str">
            <v>APOYO FINANCIERO EXTRAORDINARIO ISIFE Ramo 11</v>
          </cell>
          <cell r="C84"/>
          <cell r="D84"/>
        </row>
        <row r="85">
          <cell r="A85">
            <v>581</v>
          </cell>
          <cell r="B85" t="str">
            <v>SUBSIDIO POLICÍA ESTATAL ACREDITABLE (SPA)</v>
          </cell>
          <cell r="C85"/>
          <cell r="D85"/>
        </row>
        <row r="86">
          <cell r="A86">
            <v>582</v>
          </cell>
          <cell r="B86" t="str">
            <v>PROASP PROG. DE ALCANCE NAL. EN MAT. DE SEG. PUB. Ramo 04</v>
          </cell>
          <cell r="C86"/>
          <cell r="D86"/>
        </row>
        <row r="87">
          <cell r="A87">
            <v>583</v>
          </cell>
          <cell r="B87" t="str">
            <v>INGRESOS EXTRAORDINARIOS</v>
          </cell>
          <cell r="C87"/>
          <cell r="D87"/>
        </row>
        <row r="88">
          <cell r="A88">
            <v>584</v>
          </cell>
          <cell r="B88" t="str">
            <v>INGRESOS DERIVADOS DEL 5 AL MILLAR (OBRA)</v>
          </cell>
          <cell r="C88"/>
          <cell r="D88"/>
        </row>
        <row r="89">
          <cell r="A89">
            <v>585</v>
          </cell>
          <cell r="B89" t="str">
            <v>INGRESOS EXT Ramo 23 ( Provisiones Salariales y Económicas )</v>
          </cell>
          <cell r="C89"/>
          <cell r="D89"/>
        </row>
        <row r="90">
          <cell r="A90">
            <v>586</v>
          </cell>
          <cell r="B90" t="str">
            <v>INGRESOS EXT Ramo 21 (TURISMO)</v>
          </cell>
          <cell r="C90"/>
          <cell r="D90"/>
        </row>
        <row r="91">
          <cell r="A91">
            <v>587</v>
          </cell>
          <cell r="B91" t="str">
            <v>INGRESOS EXT Ramo 11 (SEP)</v>
          </cell>
          <cell r="C91"/>
          <cell r="D91"/>
        </row>
        <row r="92">
          <cell r="A92">
            <v>588</v>
          </cell>
          <cell r="B92" t="str">
            <v>INGRESOS EXT Ramo 09 (SCT)</v>
          </cell>
          <cell r="C92"/>
          <cell r="D92"/>
        </row>
        <row r="93">
          <cell r="A93">
            <v>589</v>
          </cell>
          <cell r="B93" t="str">
            <v>INGRESOS EXT Ramo 16 (SEMARNAT)</v>
          </cell>
          <cell r="C93"/>
          <cell r="D93"/>
        </row>
        <row r="94">
          <cell r="A94">
            <v>590</v>
          </cell>
          <cell r="B94" t="str">
            <v>INGRESOS EXT FORTASEG Ramo 04 (GOBERNACIÓN)</v>
          </cell>
          <cell r="C94"/>
          <cell r="D94"/>
        </row>
        <row r="95">
          <cell r="A95">
            <v>591</v>
          </cell>
          <cell r="B95" t="str">
            <v>INGRESOS EXT Ramo 20 (BIENESTAR)</v>
          </cell>
          <cell r="C95"/>
          <cell r="D95"/>
        </row>
        <row r="96">
          <cell r="A96">
            <v>598</v>
          </cell>
          <cell r="B96" t="str">
            <v>REMANENTE FONE 2016</v>
          </cell>
          <cell r="C96"/>
          <cell r="D96"/>
        </row>
        <row r="97">
          <cell r="A97">
            <v>599</v>
          </cell>
          <cell r="B97" t="str">
            <v>REMANENTE FONE 2015</v>
          </cell>
          <cell r="C97"/>
          <cell r="D97"/>
        </row>
        <row r="98">
          <cell r="A98">
            <v>700</v>
          </cell>
          <cell r="B98" t="str">
            <v>OTROS RECURSOS</v>
          </cell>
          <cell r="C98"/>
          <cell r="D98"/>
        </row>
        <row r="99">
          <cell r="A99">
            <v>736</v>
          </cell>
          <cell r="B99" t="str">
            <v>RENDIMIENTOS FONE</v>
          </cell>
          <cell r="C99"/>
          <cell r="D99"/>
        </row>
        <row r="100">
          <cell r="A100">
            <v>737</v>
          </cell>
          <cell r="B100" t="str">
            <v>RENDIMIENTOS FAM</v>
          </cell>
          <cell r="C100"/>
          <cell r="D100"/>
        </row>
        <row r="101">
          <cell r="A101">
            <v>747</v>
          </cell>
          <cell r="B101" t="str">
            <v>RENDIMIENTOS FASP</v>
          </cell>
          <cell r="C101"/>
          <cell r="D101"/>
        </row>
        <row r="102">
          <cell r="A102">
            <v>783</v>
          </cell>
          <cell r="B102" t="str">
            <v>INGRESOS EXTRAORDINARIOS (OTROS)</v>
          </cell>
          <cell r="C102"/>
          <cell r="D102"/>
        </row>
      </sheetData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AS"/>
      <sheetName val="CAPITULO"/>
      <sheetName val="PARTIDA"/>
      <sheetName val="COG"/>
      <sheetName val="FF"/>
      <sheetName val="PROCED"/>
    </sheetNames>
    <sheetDataSet>
      <sheetData sheetId="0"/>
      <sheetData sheetId="1"/>
      <sheetData sheetId="2"/>
      <sheetData sheetId="3">
        <row r="1">
          <cell r="A1" t="str">
            <v>CUENTA</v>
          </cell>
          <cell r="B1" t="str">
            <v>CONCEPTO</v>
          </cell>
          <cell r="C1" t="str">
            <v>AFECTABLE/ NO
AFECTABLE</v>
          </cell>
        </row>
        <row r="2">
          <cell r="A2">
            <v>210000</v>
          </cell>
          <cell r="B2" t="str">
            <v>MATERIALES DE ADMINISTRACIÓN, EMISIÓN DE DOCUMENTOS Y ARTÍCULO OFICIALES</v>
          </cell>
          <cell r="C2" t="str">
            <v>N</v>
          </cell>
        </row>
        <row r="3">
          <cell r="A3">
            <v>211000</v>
          </cell>
          <cell r="B3" t="str">
            <v>Materiales, útiles y equipos menores de oficina</v>
          </cell>
          <cell r="C3" t="str">
            <v>N</v>
          </cell>
        </row>
        <row r="4">
          <cell r="A4">
            <v>211001</v>
          </cell>
          <cell r="B4" t="str">
            <v>Material de oficina</v>
          </cell>
          <cell r="C4" t="str">
            <v>S</v>
          </cell>
        </row>
        <row r="5">
          <cell r="A5">
            <v>212000</v>
          </cell>
          <cell r="B5" t="str">
            <v>Materiales y útiles de impresión y reproducción</v>
          </cell>
          <cell r="C5" t="str">
            <v>N</v>
          </cell>
        </row>
        <row r="6">
          <cell r="A6">
            <v>212001</v>
          </cell>
          <cell r="B6" t="str">
            <v>Material y útiles de impresión</v>
          </cell>
          <cell r="C6" t="str">
            <v>S</v>
          </cell>
        </row>
        <row r="7">
          <cell r="A7">
            <v>213000</v>
          </cell>
          <cell r="B7" t="str">
            <v>Material estadístico y geográfico</v>
          </cell>
          <cell r="C7" t="str">
            <v>N</v>
          </cell>
        </row>
        <row r="8">
          <cell r="A8">
            <v>213001</v>
          </cell>
          <cell r="B8" t="str">
            <v>Material estadístico y geográfico</v>
          </cell>
          <cell r="C8" t="str">
            <v>S</v>
          </cell>
        </row>
        <row r="9">
          <cell r="A9">
            <v>214000</v>
          </cell>
          <cell r="B9" t="str">
            <v>Materiales, útiles y equipos menores de tecnologías de la información y comunicaciones</v>
          </cell>
          <cell r="C9" t="str">
            <v>N</v>
          </cell>
        </row>
        <row r="10">
          <cell r="A10">
            <v>214001</v>
          </cell>
          <cell r="B10" t="str">
            <v>Materiales, útiles y equipos menores de tecnologías de la información y comunicaciones</v>
          </cell>
          <cell r="C10" t="str">
            <v>S</v>
          </cell>
        </row>
        <row r="11">
          <cell r="A11">
            <v>215000</v>
          </cell>
          <cell r="B11" t="str">
            <v>Material impreso e información digital</v>
          </cell>
          <cell r="C11" t="str">
            <v>N</v>
          </cell>
        </row>
        <row r="12">
          <cell r="A12">
            <v>215001</v>
          </cell>
          <cell r="B12" t="str">
            <v>Material didáctico</v>
          </cell>
          <cell r="C12" t="str">
            <v>S</v>
          </cell>
        </row>
        <row r="13">
          <cell r="A13">
            <v>215002</v>
          </cell>
          <cell r="B13" t="str">
            <v>Suscripciones a Periódicos, Revistas y Publicaciones Especializadas</v>
          </cell>
          <cell r="C13" t="str">
            <v>S</v>
          </cell>
        </row>
        <row r="14">
          <cell r="A14">
            <v>215003</v>
          </cell>
          <cell r="B14" t="str">
            <v>Material impreso e información digital</v>
          </cell>
          <cell r="C14" t="str">
            <v>S</v>
          </cell>
        </row>
        <row r="15">
          <cell r="A15">
            <v>216000</v>
          </cell>
          <cell r="B15" t="str">
            <v>Material de limpieza</v>
          </cell>
          <cell r="C15" t="str">
            <v>N</v>
          </cell>
        </row>
        <row r="16">
          <cell r="A16">
            <v>216001</v>
          </cell>
          <cell r="B16" t="str">
            <v>Material de limpieza</v>
          </cell>
          <cell r="C16" t="str">
            <v>S</v>
          </cell>
        </row>
        <row r="17">
          <cell r="A17">
            <v>217000</v>
          </cell>
          <cell r="B17" t="str">
            <v>Materiales y útiles de enseñanza</v>
          </cell>
          <cell r="C17" t="str">
            <v>N</v>
          </cell>
        </row>
        <row r="18">
          <cell r="A18">
            <v>217001</v>
          </cell>
          <cell r="B18" t="str">
            <v>Materiales y útiles de enseñanza</v>
          </cell>
          <cell r="C18" t="str">
            <v>S</v>
          </cell>
        </row>
        <row r="19">
          <cell r="A19">
            <v>218000</v>
          </cell>
          <cell r="B19" t="str">
            <v>Materiales para el registro e identificación de bienes y personas</v>
          </cell>
          <cell r="C19" t="str">
            <v>N</v>
          </cell>
        </row>
        <row r="20">
          <cell r="A20">
            <v>218001</v>
          </cell>
          <cell r="B20" t="str">
            <v>Materiales para el registro e identificación de bienes y personas</v>
          </cell>
          <cell r="C20" t="str">
            <v>S</v>
          </cell>
        </row>
        <row r="21">
          <cell r="A21">
            <v>218002</v>
          </cell>
          <cell r="B21" t="str">
            <v>Placas, Engomados, Calcomanías y Hologramas</v>
          </cell>
          <cell r="C21" t="str">
            <v>S</v>
          </cell>
        </row>
        <row r="22">
          <cell r="A22">
            <v>218003</v>
          </cell>
          <cell r="B22" t="str">
            <v>Emisión de Licencias de Conducir</v>
          </cell>
          <cell r="C22" t="str">
            <v>S</v>
          </cell>
        </row>
        <row r="23">
          <cell r="A23">
            <v>218004</v>
          </cell>
          <cell r="B23" t="str">
            <v>Emisión de Formatos Únicos de Control Vehicular</v>
          </cell>
          <cell r="C23" t="str">
            <v>S</v>
          </cell>
        </row>
        <row r="24">
          <cell r="A24">
            <v>220000</v>
          </cell>
          <cell r="B24" t="str">
            <v>ALIMENTOS Y UTENSILIOS</v>
          </cell>
          <cell r="C24" t="str">
            <v>N</v>
          </cell>
        </row>
        <row r="25">
          <cell r="A25">
            <v>221000</v>
          </cell>
          <cell r="B25" t="str">
            <v>Productos alimenticios para personas</v>
          </cell>
          <cell r="C25" t="str">
            <v>N</v>
          </cell>
        </row>
        <row r="26">
          <cell r="A26">
            <v>221001</v>
          </cell>
          <cell r="B26" t="str">
            <v>Alimentación de personas</v>
          </cell>
          <cell r="C26" t="str">
            <v>S</v>
          </cell>
        </row>
        <row r="27">
          <cell r="A27">
            <v>222000</v>
          </cell>
          <cell r="B27" t="str">
            <v>Productos alimenticios para animales</v>
          </cell>
          <cell r="C27" t="str">
            <v>N</v>
          </cell>
        </row>
        <row r="28">
          <cell r="A28">
            <v>222001</v>
          </cell>
          <cell r="B28" t="str">
            <v>Alimentación de animales</v>
          </cell>
          <cell r="C28" t="str">
            <v>S</v>
          </cell>
        </row>
        <row r="29">
          <cell r="A29">
            <v>223000</v>
          </cell>
          <cell r="B29" t="str">
            <v>Utensilios para el servicio de alimentación</v>
          </cell>
          <cell r="C29" t="str">
            <v>N</v>
          </cell>
        </row>
        <row r="30">
          <cell r="A30">
            <v>223001</v>
          </cell>
          <cell r="B30" t="str">
            <v>Utensilios para el servicio de alimentación</v>
          </cell>
          <cell r="C30" t="str">
            <v>S</v>
          </cell>
        </row>
        <row r="31">
          <cell r="A31">
            <v>230000</v>
          </cell>
          <cell r="B31" t="str">
            <v>MATERIAS PRIMAS Y MATERIALES DE PRODUCCIÓN Y COMERCIALIZACIÓN</v>
          </cell>
          <cell r="C31" t="str">
            <v>N</v>
          </cell>
        </row>
        <row r="32">
          <cell r="A32">
            <v>231000</v>
          </cell>
          <cell r="B32" t="str">
            <v>Productos alimenticios, agropecuarios y forestales adquiridos como materia prima</v>
          </cell>
          <cell r="C32" t="str">
            <v>N</v>
          </cell>
        </row>
        <row r="33">
          <cell r="A33">
            <v>231001</v>
          </cell>
          <cell r="B33" t="str">
            <v>Materias primas para producción</v>
          </cell>
          <cell r="C33" t="str">
            <v>S</v>
          </cell>
        </row>
        <row r="34">
          <cell r="A34">
            <v>232000</v>
          </cell>
          <cell r="B34" t="str">
            <v>Insumos textiles adquiridos como materia prima</v>
          </cell>
          <cell r="C34" t="str">
            <v>N</v>
          </cell>
        </row>
        <row r="35">
          <cell r="A35">
            <v>232001</v>
          </cell>
          <cell r="B35" t="str">
            <v>Insumos textiles adquiridos como materia prima</v>
          </cell>
          <cell r="C35" t="str">
            <v>S</v>
          </cell>
        </row>
        <row r="36">
          <cell r="A36">
            <v>233000</v>
          </cell>
          <cell r="B36" t="str">
            <v>Productos de papel, cartón e impresos adquiridos como materia prima</v>
          </cell>
          <cell r="C36" t="str">
            <v>N</v>
          </cell>
        </row>
        <row r="37">
          <cell r="A37">
            <v>233001</v>
          </cell>
          <cell r="B37" t="str">
            <v>Productos de papel, cartón e impresos adquiridos como materia prima</v>
          </cell>
          <cell r="C37" t="str">
            <v>S</v>
          </cell>
        </row>
        <row r="38">
          <cell r="A38">
            <v>234000</v>
          </cell>
          <cell r="B38" t="str">
            <v>Combustibles, lubricantes, aditivos, carbón y sus derivados adquiridos como materia prima</v>
          </cell>
          <cell r="C38" t="str">
            <v>N</v>
          </cell>
        </row>
        <row r="39">
          <cell r="A39">
            <v>234001</v>
          </cell>
          <cell r="B39" t="str">
            <v>Combustibles, lubricantes, aditivos, carbón y sus derivados adquiridos como materia prima</v>
          </cell>
          <cell r="C39" t="str">
            <v>S</v>
          </cell>
        </row>
        <row r="40">
          <cell r="A40">
            <v>235000</v>
          </cell>
          <cell r="B40" t="str">
            <v>Productos químicos, farmacéuticos y de laboratorio adquiridos como materia prima</v>
          </cell>
          <cell r="C40" t="str">
            <v>N</v>
          </cell>
        </row>
        <row r="41">
          <cell r="A41">
            <v>235001</v>
          </cell>
          <cell r="B41" t="str">
            <v>Productos químicos, farmacéuticos y de laboratorio adquiridos como materia prima</v>
          </cell>
          <cell r="C41" t="str">
            <v>S</v>
          </cell>
        </row>
        <row r="42">
          <cell r="A42">
            <v>236000</v>
          </cell>
          <cell r="B42" t="str">
            <v>Productos metálicos y a base de minerales no metálicos adquiridos como materia prima</v>
          </cell>
          <cell r="C42" t="str">
            <v>N</v>
          </cell>
        </row>
        <row r="43">
          <cell r="A43">
            <v>236001</v>
          </cell>
          <cell r="B43" t="str">
            <v>Productos metálicos y a base de minerales no metálicos adquiridos como materia prima</v>
          </cell>
          <cell r="C43" t="str">
            <v>S</v>
          </cell>
        </row>
        <row r="44">
          <cell r="A44">
            <v>237000</v>
          </cell>
          <cell r="B44" t="str">
            <v>Productos de cuero, piel, plástico y hule adquiridos como materia prima</v>
          </cell>
          <cell r="C44" t="str">
            <v>N</v>
          </cell>
        </row>
        <row r="45">
          <cell r="A45">
            <v>237001</v>
          </cell>
          <cell r="B45" t="str">
            <v>Productos de cuero, piel, plástico y hule adquiridos como materia prima</v>
          </cell>
          <cell r="C45" t="str">
            <v>S</v>
          </cell>
        </row>
        <row r="46">
          <cell r="A46">
            <v>238000</v>
          </cell>
          <cell r="B46" t="str">
            <v>Mercancías adquiridas para su comercialización</v>
          </cell>
          <cell r="C46" t="str">
            <v>N</v>
          </cell>
        </row>
        <row r="47">
          <cell r="A47">
            <v>238001</v>
          </cell>
          <cell r="B47" t="str">
            <v>Mercancías adquiridas para su comercialización</v>
          </cell>
          <cell r="C47" t="str">
            <v>S</v>
          </cell>
        </row>
        <row r="48">
          <cell r="A48">
            <v>240000</v>
          </cell>
          <cell r="B48" t="str">
            <v>MATERIALES Y ARTÍCULOS DE CONSTRUCCIÓN Y DE REPARACIÓN</v>
          </cell>
          <cell r="C48" t="str">
            <v>N</v>
          </cell>
        </row>
        <row r="49">
          <cell r="A49">
            <v>241000</v>
          </cell>
          <cell r="B49" t="str">
            <v>Productos minerales no metálicos</v>
          </cell>
          <cell r="C49" t="str">
            <v>N</v>
          </cell>
        </row>
        <row r="50">
          <cell r="A50">
            <v>241001</v>
          </cell>
          <cell r="B50" t="str">
            <v>Productos minerales no metálicos</v>
          </cell>
          <cell r="C50" t="str">
            <v>S</v>
          </cell>
        </row>
        <row r="51">
          <cell r="A51">
            <v>242000</v>
          </cell>
          <cell r="B51" t="str">
            <v>Cemento y productos de concreto</v>
          </cell>
          <cell r="C51" t="str">
            <v>N</v>
          </cell>
        </row>
        <row r="52">
          <cell r="A52">
            <v>242001</v>
          </cell>
          <cell r="B52" t="str">
            <v>Cemento y productos de concreto</v>
          </cell>
          <cell r="C52" t="str">
            <v>S</v>
          </cell>
        </row>
        <row r="53">
          <cell r="A53">
            <v>243000</v>
          </cell>
          <cell r="B53" t="str">
            <v>Cal, yeso y productos de yeso</v>
          </cell>
          <cell r="C53" t="str">
            <v>N</v>
          </cell>
        </row>
        <row r="54">
          <cell r="A54">
            <v>243001</v>
          </cell>
          <cell r="B54" t="str">
            <v>Cal, yeso y productos de yeso</v>
          </cell>
          <cell r="C54" t="str">
            <v>S</v>
          </cell>
        </row>
        <row r="55">
          <cell r="A55">
            <v>244000</v>
          </cell>
          <cell r="B55" t="str">
            <v>Madera y productos de madera</v>
          </cell>
          <cell r="C55" t="str">
            <v>N</v>
          </cell>
        </row>
        <row r="56">
          <cell r="A56">
            <v>244001</v>
          </cell>
          <cell r="B56" t="str">
            <v>Madera y productos de madera</v>
          </cell>
          <cell r="C56" t="str">
            <v>S</v>
          </cell>
        </row>
        <row r="57">
          <cell r="A57">
            <v>245000</v>
          </cell>
          <cell r="B57" t="str">
            <v>Vidrio y productos de vidrio</v>
          </cell>
          <cell r="C57" t="str">
            <v>N</v>
          </cell>
        </row>
        <row r="58">
          <cell r="A58">
            <v>245001</v>
          </cell>
          <cell r="B58" t="str">
            <v>Vidrio y productos de vidrio</v>
          </cell>
          <cell r="C58" t="str">
            <v>S</v>
          </cell>
        </row>
        <row r="59">
          <cell r="A59">
            <v>246000</v>
          </cell>
          <cell r="B59" t="str">
            <v>Material eléctrico y electrónico</v>
          </cell>
          <cell r="C59" t="str">
            <v>N</v>
          </cell>
        </row>
        <row r="60">
          <cell r="A60">
            <v>246001</v>
          </cell>
          <cell r="B60" t="str">
            <v>Material eléctrico</v>
          </cell>
          <cell r="C60" t="str">
            <v>S</v>
          </cell>
        </row>
        <row r="61">
          <cell r="A61">
            <v>246002</v>
          </cell>
          <cell r="B61" t="str">
            <v>Material electrónico</v>
          </cell>
          <cell r="C61" t="str">
            <v>S</v>
          </cell>
        </row>
        <row r="62">
          <cell r="A62">
            <v>247000</v>
          </cell>
          <cell r="B62" t="str">
            <v>Artículos metálicos para la construcción</v>
          </cell>
          <cell r="C62" t="str">
            <v>N</v>
          </cell>
        </row>
        <row r="63">
          <cell r="A63">
            <v>247001</v>
          </cell>
          <cell r="B63" t="str">
            <v>Artículos metálicos para la construcción</v>
          </cell>
          <cell r="C63" t="str">
            <v>S</v>
          </cell>
        </row>
        <row r="64">
          <cell r="A64">
            <v>248000</v>
          </cell>
          <cell r="B64" t="str">
            <v>Materiales complementarios</v>
          </cell>
          <cell r="C64" t="str">
            <v>N</v>
          </cell>
        </row>
        <row r="65">
          <cell r="A65">
            <v>248001</v>
          </cell>
          <cell r="B65" t="str">
            <v>Materiales complementarios</v>
          </cell>
          <cell r="C65" t="str">
            <v>S</v>
          </cell>
        </row>
        <row r="66">
          <cell r="A66">
            <v>249000</v>
          </cell>
          <cell r="B66" t="str">
            <v>Otros materiales y artículos de construcción y reparación</v>
          </cell>
          <cell r="C66" t="str">
            <v>N</v>
          </cell>
        </row>
        <row r="67">
          <cell r="A67">
            <v>249001</v>
          </cell>
          <cell r="B67" t="str">
            <v>Materiales de construcción y complementarios</v>
          </cell>
          <cell r="C67" t="str">
            <v>S</v>
          </cell>
        </row>
        <row r="68">
          <cell r="A68">
            <v>249002</v>
          </cell>
          <cell r="B68" t="str">
            <v>Otros materiales de construcción y reparación</v>
          </cell>
          <cell r="C68" t="str">
            <v>S</v>
          </cell>
        </row>
        <row r="69">
          <cell r="A69">
            <v>250000</v>
          </cell>
          <cell r="B69" t="str">
            <v>PRODUCTOS QUÍMICOS, FARMACÉUTICOS Y DE LABORATORIO</v>
          </cell>
          <cell r="C69" t="str">
            <v>N</v>
          </cell>
        </row>
        <row r="70">
          <cell r="A70">
            <v>251000</v>
          </cell>
          <cell r="B70" t="str">
            <v>Productos químicos básicos</v>
          </cell>
          <cell r="C70" t="str">
            <v>N</v>
          </cell>
        </row>
        <row r="71">
          <cell r="A71">
            <v>251001</v>
          </cell>
          <cell r="B71" t="str">
            <v>Gas Refrigerante</v>
          </cell>
          <cell r="C71" t="str">
            <v>S</v>
          </cell>
        </row>
        <row r="72">
          <cell r="A72">
            <v>252000</v>
          </cell>
          <cell r="B72" t="str">
            <v>Fertilizantes, pesticidas y otros agroquímicos</v>
          </cell>
          <cell r="C72" t="str">
            <v>N</v>
          </cell>
        </row>
        <row r="73">
          <cell r="A73">
            <v>252001</v>
          </cell>
          <cell r="B73" t="str">
            <v>Fertilizantes, pesticidas y otros agroquímicos</v>
          </cell>
          <cell r="C73" t="str">
            <v>S</v>
          </cell>
        </row>
        <row r="74">
          <cell r="A74">
            <v>253000</v>
          </cell>
          <cell r="B74" t="str">
            <v>Medicinas y productos químicos, farmacéuticos</v>
          </cell>
          <cell r="C74" t="str">
            <v>N</v>
          </cell>
        </row>
        <row r="75">
          <cell r="A75">
            <v>253001</v>
          </cell>
          <cell r="B75" t="str">
            <v>Material y productos químicos, farmacéuticos</v>
          </cell>
          <cell r="C75" t="str">
            <v>S</v>
          </cell>
        </row>
        <row r="76">
          <cell r="A76">
            <v>254000</v>
          </cell>
          <cell r="B76" t="str">
            <v>Materiales, accesorios y suministros médicos</v>
          </cell>
          <cell r="C76" t="str">
            <v>N</v>
          </cell>
        </row>
        <row r="77">
          <cell r="A77">
            <v>254001</v>
          </cell>
          <cell r="B77" t="str">
            <v>Materiales, accesorios y suministros médicos</v>
          </cell>
          <cell r="C77" t="str">
            <v>S</v>
          </cell>
        </row>
        <row r="78">
          <cell r="A78">
            <v>255000</v>
          </cell>
          <cell r="B78" t="str">
            <v>Materiales, accesorios y suministros de laboratorio</v>
          </cell>
          <cell r="C78" t="str">
            <v>N</v>
          </cell>
        </row>
        <row r="79">
          <cell r="A79">
            <v>255001</v>
          </cell>
          <cell r="B79" t="str">
            <v>Materiales, accesorios y suministros de laboratorio</v>
          </cell>
          <cell r="C79" t="str">
            <v>S</v>
          </cell>
        </row>
        <row r="80">
          <cell r="A80">
            <v>256000</v>
          </cell>
          <cell r="B80" t="str">
            <v>Fibras sintéticas, hules, plásticos y derivados</v>
          </cell>
          <cell r="C80" t="str">
            <v>N</v>
          </cell>
        </row>
        <row r="81">
          <cell r="A81">
            <v>256001</v>
          </cell>
          <cell r="B81" t="str">
            <v>Fibras sintéticas, hules, plásticos y derivados</v>
          </cell>
          <cell r="C81" t="str">
            <v>S</v>
          </cell>
        </row>
        <row r="82">
          <cell r="A82">
            <v>259000</v>
          </cell>
          <cell r="B82" t="str">
            <v>Otros productos químicos</v>
          </cell>
          <cell r="C82" t="str">
            <v>N</v>
          </cell>
        </row>
        <row r="83">
          <cell r="A83">
            <v>259001</v>
          </cell>
          <cell r="B83" t="str">
            <v>Otros productos químicos</v>
          </cell>
          <cell r="C83" t="str">
            <v>S</v>
          </cell>
        </row>
        <row r="84">
          <cell r="A84">
            <v>260000</v>
          </cell>
          <cell r="B84" t="str">
            <v>COMBUSTIBLES, LUBRICANTES Y ADITIVOS</v>
          </cell>
          <cell r="C84" t="str">
            <v>N</v>
          </cell>
        </row>
        <row r="85">
          <cell r="A85">
            <v>261000</v>
          </cell>
          <cell r="B85" t="str">
            <v>Combustibles, lubricantes y aditivos</v>
          </cell>
          <cell r="C85" t="str">
            <v>N</v>
          </cell>
        </row>
        <row r="86">
          <cell r="A86">
            <v>261001</v>
          </cell>
          <cell r="B86" t="str">
            <v>Combustibles</v>
          </cell>
          <cell r="C86" t="str">
            <v>S</v>
          </cell>
        </row>
        <row r="87">
          <cell r="A87">
            <v>261002</v>
          </cell>
          <cell r="B87" t="str">
            <v>Lubricantes y aditivos</v>
          </cell>
          <cell r="C87" t="str">
            <v>S</v>
          </cell>
        </row>
        <row r="88">
          <cell r="A88">
            <v>262000</v>
          </cell>
          <cell r="B88" t="str">
            <v>Carbón y sus derivados</v>
          </cell>
          <cell r="C88" t="str">
            <v>N</v>
          </cell>
        </row>
        <row r="89">
          <cell r="A89">
            <v>262001</v>
          </cell>
          <cell r="B89" t="str">
            <v>Carbón y sus derivados</v>
          </cell>
          <cell r="C89" t="str">
            <v>S</v>
          </cell>
        </row>
        <row r="90">
          <cell r="A90">
            <v>270000</v>
          </cell>
          <cell r="B90" t="str">
            <v>VESTUARIO, BLANCOS, PRENDAS DE PROTECCIÓN Y ARTÍCULOS DEPORTIVOS</v>
          </cell>
          <cell r="C90" t="str">
            <v>N</v>
          </cell>
        </row>
        <row r="91">
          <cell r="A91">
            <v>271000</v>
          </cell>
          <cell r="B91" t="str">
            <v>Vestuario y uniformes</v>
          </cell>
          <cell r="C91" t="str">
            <v>N</v>
          </cell>
        </row>
        <row r="92">
          <cell r="A92">
            <v>271001</v>
          </cell>
          <cell r="B92" t="str">
            <v>Ropa, vestuario y equipo</v>
          </cell>
          <cell r="C92" t="str">
            <v>S</v>
          </cell>
        </row>
        <row r="93">
          <cell r="A93">
            <v>272000</v>
          </cell>
          <cell r="B93" t="str">
            <v>Prendas de seguridad y protección personal</v>
          </cell>
          <cell r="C93" t="str">
            <v>N</v>
          </cell>
        </row>
        <row r="94">
          <cell r="A94">
            <v>272001</v>
          </cell>
          <cell r="B94" t="str">
            <v>Materiales explosivos y de seguridad pública</v>
          </cell>
          <cell r="C94" t="str">
            <v>S</v>
          </cell>
        </row>
        <row r="95">
          <cell r="A95">
            <v>272002</v>
          </cell>
          <cell r="B95" t="str">
            <v>Prendas de seguridad y protección personal</v>
          </cell>
          <cell r="C95" t="str">
            <v>S</v>
          </cell>
        </row>
        <row r="96">
          <cell r="A96">
            <v>273000</v>
          </cell>
          <cell r="B96" t="str">
            <v>Artículos deportivos</v>
          </cell>
          <cell r="C96" t="str">
            <v>N</v>
          </cell>
        </row>
        <row r="97">
          <cell r="A97">
            <v>273001</v>
          </cell>
          <cell r="B97" t="str">
            <v>Artículos deportivos</v>
          </cell>
          <cell r="C97" t="str">
            <v>S</v>
          </cell>
        </row>
        <row r="98">
          <cell r="A98">
            <v>274000</v>
          </cell>
          <cell r="B98" t="str">
            <v>Productos textiles</v>
          </cell>
          <cell r="C98" t="str">
            <v>N</v>
          </cell>
        </row>
        <row r="99">
          <cell r="A99">
            <v>274001</v>
          </cell>
          <cell r="B99" t="str">
            <v>Productos textiles</v>
          </cell>
          <cell r="C99" t="str">
            <v>S</v>
          </cell>
        </row>
        <row r="100">
          <cell r="A100">
            <v>275000</v>
          </cell>
          <cell r="B100" t="str">
            <v>Blancos y otros productos textiles, excepto prendas de vestir</v>
          </cell>
          <cell r="C100" t="str">
            <v>N</v>
          </cell>
        </row>
        <row r="101">
          <cell r="A101">
            <v>275001</v>
          </cell>
          <cell r="B101" t="str">
            <v>Blancos y otros productos textiles, excepto prendas de vestir</v>
          </cell>
          <cell r="C101" t="str">
            <v>S</v>
          </cell>
        </row>
        <row r="102">
          <cell r="A102">
            <v>280000</v>
          </cell>
          <cell r="B102" t="str">
            <v>MATERIALES Y SUMINISTROS PARA SEGURIDAD</v>
          </cell>
          <cell r="C102" t="str">
            <v>N</v>
          </cell>
        </row>
        <row r="103">
          <cell r="A103">
            <v>281000</v>
          </cell>
          <cell r="B103" t="str">
            <v>Sustancias y materiales explosivos</v>
          </cell>
          <cell r="C103" t="str">
            <v>N</v>
          </cell>
        </row>
        <row r="104">
          <cell r="A104">
            <v>281001</v>
          </cell>
          <cell r="B104" t="str">
            <v>Sustancias y materiales explosivos</v>
          </cell>
          <cell r="C104" t="str">
            <v>S</v>
          </cell>
        </row>
        <row r="105">
          <cell r="A105">
            <v>282000</v>
          </cell>
          <cell r="B105" t="str">
            <v>Materiales de seguridad pública</v>
          </cell>
          <cell r="C105" t="str">
            <v>N</v>
          </cell>
        </row>
        <row r="106">
          <cell r="A106">
            <v>282001</v>
          </cell>
          <cell r="B106" t="str">
            <v>Materiales de seguridad pública</v>
          </cell>
          <cell r="C106" t="str">
            <v>S</v>
          </cell>
        </row>
        <row r="107">
          <cell r="A107">
            <v>283000</v>
          </cell>
          <cell r="B107" t="str">
            <v>Prendas de protección para seguridad pública y nacional</v>
          </cell>
          <cell r="C107" t="str">
            <v>N</v>
          </cell>
        </row>
        <row r="108">
          <cell r="A108">
            <v>283001</v>
          </cell>
          <cell r="B108" t="str">
            <v>Prendas de protección para seguridad pública</v>
          </cell>
          <cell r="C108" t="str">
            <v>S</v>
          </cell>
        </row>
        <row r="109">
          <cell r="A109">
            <v>290000</v>
          </cell>
          <cell r="B109" t="str">
            <v>HERRAMIENTAS, REFACCIONES Y ACCESORIOS MENORES</v>
          </cell>
          <cell r="C109" t="str">
            <v>N</v>
          </cell>
        </row>
        <row r="110">
          <cell r="A110">
            <v>291000</v>
          </cell>
          <cell r="B110" t="str">
            <v>Herramientas menores</v>
          </cell>
          <cell r="C110" t="str">
            <v>N</v>
          </cell>
        </row>
        <row r="111">
          <cell r="A111">
            <v>291001</v>
          </cell>
          <cell r="B111" t="str">
            <v>Herramientas Auxiliares de Trabajo</v>
          </cell>
          <cell r="C111" t="str">
            <v>S</v>
          </cell>
        </row>
        <row r="112">
          <cell r="A112">
            <v>292000</v>
          </cell>
          <cell r="B112" t="str">
            <v>Refacciones y accesorios menores de edificios</v>
          </cell>
          <cell r="C112" t="str">
            <v>N</v>
          </cell>
        </row>
        <row r="113">
          <cell r="A113">
            <v>292001</v>
          </cell>
          <cell r="B113" t="str">
            <v>Refacciones y accesorios menores de edificios (candados, cerraduras, chapas, llaves)</v>
          </cell>
          <cell r="C113" t="str">
            <v>S</v>
          </cell>
        </row>
        <row r="114">
          <cell r="A114">
            <v>293000</v>
          </cell>
          <cell r="B114" t="str">
            <v>Refacciones y accesorios menores de mobiliario y equipo de administración, educacional y recreativo</v>
          </cell>
          <cell r="C114" t="str">
            <v>N</v>
          </cell>
        </row>
        <row r="115">
          <cell r="A115">
            <v>293001</v>
          </cell>
          <cell r="B115" t="str">
            <v>Refacciones y accesorios menores de mobiliario y equipo de administración, educacional y recreativo</v>
          </cell>
          <cell r="C115" t="str">
            <v>S</v>
          </cell>
        </row>
        <row r="116">
          <cell r="A116">
            <v>294000</v>
          </cell>
          <cell r="B116" t="str">
            <v>Refacciones y accesorios menores de equipo de cómputo y tecnologías de la información</v>
          </cell>
          <cell r="C116" t="str">
            <v>N</v>
          </cell>
        </row>
        <row r="117">
          <cell r="A117">
            <v>294001</v>
          </cell>
          <cell r="B117" t="str">
            <v>Dispositivos Internos y Externos de Equipo de Computo</v>
          </cell>
          <cell r="C117" t="str">
            <v>S</v>
          </cell>
        </row>
        <row r="118">
          <cell r="A118">
            <v>294002</v>
          </cell>
          <cell r="B118" t="str">
            <v>Refacciones y Accesorios Menores de Equipo de Computo</v>
          </cell>
          <cell r="C118" t="str">
            <v>S</v>
          </cell>
        </row>
        <row r="119">
          <cell r="A119">
            <v>295000</v>
          </cell>
          <cell r="B119" t="str">
            <v>Refacciones y accesorios menores de equipo e instrumental médico y de laboratorio</v>
          </cell>
          <cell r="C119" t="str">
            <v>N</v>
          </cell>
        </row>
        <row r="120">
          <cell r="A120">
            <v>295001</v>
          </cell>
          <cell r="B120" t="str">
            <v>Refacciones y accesorios menores de equipo e instrumental médico y de laboratorio</v>
          </cell>
          <cell r="C120" t="str">
            <v>S</v>
          </cell>
        </row>
        <row r="121">
          <cell r="A121">
            <v>296000</v>
          </cell>
          <cell r="B121" t="str">
            <v>Refacciones y accesorios menores de equipo de transporte</v>
          </cell>
          <cell r="C121" t="str">
            <v>N</v>
          </cell>
        </row>
        <row r="122">
          <cell r="A122">
            <v>296001</v>
          </cell>
          <cell r="B122" t="str">
            <v>Herramientas, refacciones y accesorios</v>
          </cell>
          <cell r="C122" t="str">
            <v>S</v>
          </cell>
        </row>
        <row r="123">
          <cell r="A123">
            <v>297000</v>
          </cell>
          <cell r="B123" t="str">
            <v>Refacciones y accesorios menores de equipo de defensa y seguridad</v>
          </cell>
          <cell r="C123" t="str">
            <v>N</v>
          </cell>
        </row>
        <row r="124">
          <cell r="A124">
            <v>297001</v>
          </cell>
          <cell r="B124" t="str">
            <v>Refacciones y accesorios menores de equipo de defensa y seguridad</v>
          </cell>
          <cell r="C124" t="str">
            <v>S</v>
          </cell>
        </row>
        <row r="125">
          <cell r="A125">
            <v>298000</v>
          </cell>
          <cell r="B125" t="str">
            <v>Refacciones y accesorios menores de maquinaria y otros equipos</v>
          </cell>
          <cell r="C125" t="str">
            <v>N</v>
          </cell>
        </row>
        <row r="126">
          <cell r="A126">
            <v>298001</v>
          </cell>
          <cell r="B126" t="str">
            <v>Refacciones y accesorios menores de maquinaria y otros equipos</v>
          </cell>
          <cell r="C126" t="str">
            <v>S</v>
          </cell>
        </row>
        <row r="127">
          <cell r="A127">
            <v>299000</v>
          </cell>
          <cell r="B127" t="str">
            <v>Refacciones y accesorios menores otros bienes muebles</v>
          </cell>
          <cell r="C127" t="str">
            <v>N</v>
          </cell>
        </row>
        <row r="128">
          <cell r="A128">
            <v>299001</v>
          </cell>
          <cell r="B128" t="str">
            <v>Refacciones y accesorios menores otros bienes muebles</v>
          </cell>
          <cell r="C128" t="str">
            <v>S</v>
          </cell>
        </row>
        <row r="129">
          <cell r="A129">
            <v>300000</v>
          </cell>
          <cell r="B129" t="str">
            <v>SERVICIOS GENERALES</v>
          </cell>
          <cell r="C129" t="str">
            <v>N</v>
          </cell>
        </row>
        <row r="130">
          <cell r="A130">
            <v>310000</v>
          </cell>
          <cell r="B130" t="str">
            <v>SERVICIOS BÁSICOS</v>
          </cell>
          <cell r="C130" t="str">
            <v>N</v>
          </cell>
        </row>
        <row r="131">
          <cell r="A131">
            <v>311000</v>
          </cell>
          <cell r="B131" t="str">
            <v>Energía eléctrica</v>
          </cell>
          <cell r="C131" t="str">
            <v>N</v>
          </cell>
        </row>
        <row r="132">
          <cell r="A132">
            <v>311001</v>
          </cell>
          <cell r="B132" t="str">
            <v>Servicio de energía eléctrica</v>
          </cell>
          <cell r="C132" t="str">
            <v>S</v>
          </cell>
        </row>
        <row r="133">
          <cell r="A133">
            <v>311002</v>
          </cell>
          <cell r="B133" t="str">
            <v>Contratación del servicio de energía eléctrica</v>
          </cell>
          <cell r="C133" t="str">
            <v>S</v>
          </cell>
        </row>
        <row r="134">
          <cell r="A134">
            <v>312000</v>
          </cell>
          <cell r="B134" t="str">
            <v>Gas</v>
          </cell>
          <cell r="C134" t="str">
            <v>N</v>
          </cell>
        </row>
        <row r="135">
          <cell r="A135">
            <v>312001</v>
          </cell>
          <cell r="B135" t="str">
            <v>Servicio de Gas L.P.</v>
          </cell>
          <cell r="C135" t="str">
            <v>S</v>
          </cell>
        </row>
        <row r="136">
          <cell r="A136">
            <v>313000</v>
          </cell>
          <cell r="B136" t="str">
            <v>Agua</v>
          </cell>
          <cell r="C136" t="str">
            <v>N</v>
          </cell>
        </row>
        <row r="137">
          <cell r="A137">
            <v>313001</v>
          </cell>
          <cell r="B137" t="str">
            <v>Servicio de agua potable</v>
          </cell>
          <cell r="C137" t="str">
            <v>S</v>
          </cell>
        </row>
        <row r="138">
          <cell r="A138">
            <v>313002</v>
          </cell>
          <cell r="B138" t="str">
            <v>Contratación del servicio de agua potable</v>
          </cell>
          <cell r="C138" t="str">
            <v>S</v>
          </cell>
        </row>
        <row r="139">
          <cell r="A139">
            <v>314000</v>
          </cell>
          <cell r="B139" t="str">
            <v>Telefonía tradicional</v>
          </cell>
          <cell r="C139" t="str">
            <v>N</v>
          </cell>
        </row>
        <row r="140">
          <cell r="A140">
            <v>314001</v>
          </cell>
          <cell r="B140" t="str">
            <v>Servicio telefónico</v>
          </cell>
          <cell r="C140" t="str">
            <v>S</v>
          </cell>
        </row>
        <row r="141">
          <cell r="A141">
            <v>315000</v>
          </cell>
          <cell r="B141" t="str">
            <v>Telefonía celular</v>
          </cell>
          <cell r="C141" t="str">
            <v>N</v>
          </cell>
        </row>
        <row r="142">
          <cell r="A142">
            <v>315001</v>
          </cell>
          <cell r="B142" t="str">
            <v>Telefonía celular</v>
          </cell>
          <cell r="C142" t="str">
            <v>S</v>
          </cell>
        </row>
        <row r="143">
          <cell r="A143">
            <v>316000</v>
          </cell>
          <cell r="B143" t="str">
            <v>Servicios de telecomunicaciones y satélites</v>
          </cell>
          <cell r="C143" t="str">
            <v>N</v>
          </cell>
        </row>
        <row r="144">
          <cell r="A144">
            <v>316001</v>
          </cell>
          <cell r="B144" t="str">
            <v>Servicios de telecomunicaciones y satélites</v>
          </cell>
          <cell r="C144" t="str">
            <v>S</v>
          </cell>
        </row>
        <row r="145">
          <cell r="A145">
            <v>317000</v>
          </cell>
          <cell r="B145" t="str">
            <v>Servicios de acceso de Internet, redes y procesamiento de información</v>
          </cell>
          <cell r="C145" t="str">
            <v>N</v>
          </cell>
        </row>
        <row r="146">
          <cell r="A146">
            <v>317001</v>
          </cell>
          <cell r="B146" t="str">
            <v>Servicios de acceso de Internet, redes y procesamiento de información</v>
          </cell>
          <cell r="C146" t="str">
            <v>S</v>
          </cell>
        </row>
        <row r="147">
          <cell r="A147">
            <v>318000</v>
          </cell>
          <cell r="B147" t="str">
            <v>Servicios postales y telegráficos</v>
          </cell>
          <cell r="C147" t="str">
            <v>N</v>
          </cell>
        </row>
        <row r="148">
          <cell r="A148">
            <v>318001</v>
          </cell>
          <cell r="B148" t="str">
            <v>Servicio postal y telegráfico</v>
          </cell>
          <cell r="C148" t="str">
            <v>S</v>
          </cell>
        </row>
        <row r="149">
          <cell r="A149">
            <v>319000</v>
          </cell>
          <cell r="B149" t="str">
            <v>Servicios integrales y otros servicios</v>
          </cell>
          <cell r="C149" t="str">
            <v>N</v>
          </cell>
        </row>
        <row r="150">
          <cell r="A150">
            <v>319001</v>
          </cell>
          <cell r="B150" t="str">
            <v>Servicios Integrales</v>
          </cell>
          <cell r="C150" t="str">
            <v>S</v>
          </cell>
        </row>
        <row r="151">
          <cell r="A151">
            <v>320000</v>
          </cell>
          <cell r="B151" t="str">
            <v>SERVICIOS DE ARRENDAMIENTO</v>
          </cell>
          <cell r="C151" t="str">
            <v>N</v>
          </cell>
        </row>
        <row r="152">
          <cell r="A152">
            <v>321000</v>
          </cell>
          <cell r="B152" t="str">
            <v>Arrendamiento de terrenos</v>
          </cell>
          <cell r="C152" t="str">
            <v>N</v>
          </cell>
        </row>
        <row r="153">
          <cell r="A153">
            <v>321001</v>
          </cell>
          <cell r="B153" t="str">
            <v>Arrendamiento de terrenos</v>
          </cell>
          <cell r="C153" t="str">
            <v>S</v>
          </cell>
        </row>
        <row r="154">
          <cell r="A154">
            <v>322000</v>
          </cell>
          <cell r="B154" t="str">
            <v>Arrendamiento de edificios</v>
          </cell>
          <cell r="C154" t="str">
            <v>N</v>
          </cell>
        </row>
        <row r="155">
          <cell r="A155">
            <v>322001</v>
          </cell>
          <cell r="B155" t="str">
            <v>Arrendamiento de edificios</v>
          </cell>
          <cell r="C155" t="str">
            <v>S</v>
          </cell>
        </row>
        <row r="156">
          <cell r="A156">
            <v>323000</v>
          </cell>
          <cell r="B156" t="str">
            <v>Arrendamiento de mobiliario y equipo de administración, educacional y recreativo</v>
          </cell>
          <cell r="C156" t="str">
            <v>N</v>
          </cell>
        </row>
        <row r="157">
          <cell r="A157">
            <v>323001</v>
          </cell>
          <cell r="B157" t="str">
            <v>Arrendamiento de maquinaria y equipo</v>
          </cell>
          <cell r="C157" t="str">
            <v>S</v>
          </cell>
        </row>
        <row r="158">
          <cell r="A158">
            <v>323002</v>
          </cell>
          <cell r="B158" t="str">
            <v>Arrendamiento de maquinaria y equipo de Administración</v>
          </cell>
          <cell r="C158" t="str">
            <v>S</v>
          </cell>
        </row>
        <row r="159">
          <cell r="A159">
            <v>323003</v>
          </cell>
          <cell r="B159" t="str">
            <v>Arrendamiento de Equipo Educacional y Recreativo</v>
          </cell>
          <cell r="C159" t="str">
            <v>S</v>
          </cell>
        </row>
        <row r="160">
          <cell r="A160">
            <v>323004</v>
          </cell>
          <cell r="B160" t="str">
            <v>Arrendamiento de Mobiliario y Equipo</v>
          </cell>
          <cell r="C160" t="str">
            <v>S</v>
          </cell>
        </row>
        <row r="161">
          <cell r="A161">
            <v>324000</v>
          </cell>
          <cell r="B161" t="str">
            <v>Arrendamiento de equipo e instrumental médico y de laboratorio</v>
          </cell>
          <cell r="C161" t="str">
            <v>N</v>
          </cell>
        </row>
        <row r="162">
          <cell r="A162">
            <v>324001</v>
          </cell>
          <cell r="B162" t="str">
            <v>Arrendamiento de equipo e instrumental médico y de laboratorio</v>
          </cell>
          <cell r="C162" t="str">
            <v>S</v>
          </cell>
        </row>
        <row r="163">
          <cell r="A163">
            <v>325000</v>
          </cell>
          <cell r="B163" t="str">
            <v>Arrendamiento de equipo de transporte</v>
          </cell>
          <cell r="C163" t="str">
            <v>N</v>
          </cell>
        </row>
        <row r="164">
          <cell r="A164">
            <v>325001</v>
          </cell>
          <cell r="B164" t="str">
            <v>Arrendamiento de equipo de transporte</v>
          </cell>
          <cell r="C164" t="str">
            <v>S</v>
          </cell>
        </row>
        <row r="165">
          <cell r="A165">
            <v>326000</v>
          </cell>
          <cell r="B165" t="str">
            <v>Arrendamiento de maquinaria, otros equipos y herramientas</v>
          </cell>
          <cell r="C165" t="str">
            <v>N</v>
          </cell>
        </row>
        <row r="166">
          <cell r="A166">
            <v>326001</v>
          </cell>
          <cell r="B166" t="str">
            <v>Arrendamiento de maquinaria, otros equipos y herramientas</v>
          </cell>
          <cell r="C166" t="str">
            <v>S</v>
          </cell>
        </row>
        <row r="167">
          <cell r="A167">
            <v>327000</v>
          </cell>
          <cell r="B167" t="str">
            <v>Arrendamiento de activos intangibles</v>
          </cell>
          <cell r="C167" t="str">
            <v>N</v>
          </cell>
        </row>
        <row r="168">
          <cell r="A168">
            <v>327001</v>
          </cell>
          <cell r="B168" t="str">
            <v>Arrendamiento de activos intangibles</v>
          </cell>
          <cell r="C168" t="str">
            <v>S</v>
          </cell>
        </row>
        <row r="169">
          <cell r="A169">
            <v>328000</v>
          </cell>
          <cell r="B169" t="str">
            <v>Arrendamiento financiero</v>
          </cell>
          <cell r="C169" t="str">
            <v>N</v>
          </cell>
        </row>
        <row r="170">
          <cell r="A170">
            <v>328001</v>
          </cell>
          <cell r="B170" t="str">
            <v>Arrendamiento financiero</v>
          </cell>
          <cell r="C170" t="str">
            <v>S</v>
          </cell>
        </row>
        <row r="171">
          <cell r="A171">
            <v>328002</v>
          </cell>
          <cell r="B171" t="str">
            <v>Programa Estatal de Arrendamiento Vehicular</v>
          </cell>
          <cell r="C171" t="str">
            <v>S</v>
          </cell>
        </row>
        <row r="172">
          <cell r="A172">
            <v>329000</v>
          </cell>
          <cell r="B172" t="str">
            <v>Otros arrendamientos</v>
          </cell>
          <cell r="C172" t="str">
            <v>N</v>
          </cell>
        </row>
        <row r="173">
          <cell r="A173">
            <v>329001</v>
          </cell>
          <cell r="B173" t="str">
            <v>Arrendamientos especiales</v>
          </cell>
          <cell r="C173" t="str">
            <v>S</v>
          </cell>
        </row>
        <row r="174">
          <cell r="A174">
            <v>330000</v>
          </cell>
          <cell r="B174" t="str">
            <v>SERVICIOS PROFESIONALES, CIENTÍFICOS, TÉCNICOS Y OTROS SERVICIOS</v>
          </cell>
          <cell r="C174" t="str">
            <v>N</v>
          </cell>
        </row>
        <row r="175">
          <cell r="A175">
            <v>331000</v>
          </cell>
          <cell r="B175" t="str">
            <v>Servicios legales, de contabilidad, auditoría y relacionados</v>
          </cell>
          <cell r="C175" t="str">
            <v>N</v>
          </cell>
        </row>
        <row r="176">
          <cell r="A176">
            <v>331001</v>
          </cell>
          <cell r="B176" t="str">
            <v>Asesorías</v>
          </cell>
          <cell r="C176" t="str">
            <v>S</v>
          </cell>
        </row>
        <row r="177">
          <cell r="A177">
            <v>331002</v>
          </cell>
          <cell r="B177" t="str">
            <v>Servicios Notariales</v>
          </cell>
          <cell r="C177" t="str">
            <v>S</v>
          </cell>
        </row>
        <row r="178">
          <cell r="A178">
            <v>331003</v>
          </cell>
          <cell r="B178" t="str">
            <v>Consultoría y Gestión</v>
          </cell>
          <cell r="C178" t="str">
            <v>S</v>
          </cell>
        </row>
        <row r="179">
          <cell r="A179">
            <v>332000</v>
          </cell>
          <cell r="B179" t="str">
            <v>Servicios de diseño, arquitectura, ingeniería y actividades relacionadas</v>
          </cell>
          <cell r="C179" t="str">
            <v>N</v>
          </cell>
        </row>
        <row r="180">
          <cell r="A180">
            <v>332001</v>
          </cell>
          <cell r="B180" t="str">
            <v>Servicios de diseño, arquitectura, ingeniería y actividades relacionadas</v>
          </cell>
          <cell r="C180" t="str">
            <v>S</v>
          </cell>
        </row>
        <row r="181">
          <cell r="A181">
            <v>333000</v>
          </cell>
          <cell r="B181" t="str">
            <v>Servicios de consultoría administrativa, procesos, técnica y en tecnologías de la información</v>
          </cell>
          <cell r="C181" t="str">
            <v>N</v>
          </cell>
        </row>
        <row r="182">
          <cell r="A182">
            <v>333001</v>
          </cell>
          <cell r="B182" t="str">
            <v>Estudios e investigaciones</v>
          </cell>
          <cell r="C182" t="str">
            <v>S</v>
          </cell>
        </row>
        <row r="183">
          <cell r="A183">
            <v>333002</v>
          </cell>
          <cell r="B183" t="str">
            <v>Sistematización de la Armonización Contable y Presupuestal</v>
          </cell>
          <cell r="C183" t="str">
            <v>S</v>
          </cell>
        </row>
        <row r="184">
          <cell r="A184">
            <v>333003</v>
          </cell>
          <cell r="B184" t="str">
            <v>Servicios de consultoría administrativa, procesos, técnica y en tecnologías de la información</v>
          </cell>
          <cell r="C184" t="str">
            <v>S</v>
          </cell>
        </row>
        <row r="185">
          <cell r="A185">
            <v>334000</v>
          </cell>
          <cell r="B185" t="str">
            <v>Servicios de capacitación</v>
          </cell>
          <cell r="C185" t="str">
            <v>N</v>
          </cell>
        </row>
        <row r="186">
          <cell r="A186">
            <v>334001</v>
          </cell>
          <cell r="B186" t="str">
            <v>Cuotas e inscripciones</v>
          </cell>
          <cell r="C186" t="str">
            <v>S</v>
          </cell>
        </row>
        <row r="187">
          <cell r="A187">
            <v>334002</v>
          </cell>
          <cell r="B187" t="str">
            <v>Servicios de Capacitación</v>
          </cell>
          <cell r="C187" t="str">
            <v>S</v>
          </cell>
        </row>
        <row r="188">
          <cell r="A188">
            <v>335000</v>
          </cell>
          <cell r="B188" t="str">
            <v>Servicios de investigación científica y desarrollo</v>
          </cell>
          <cell r="C188" t="str">
            <v>N</v>
          </cell>
        </row>
        <row r="189">
          <cell r="A189">
            <v>335001</v>
          </cell>
          <cell r="B189" t="str">
            <v>Servicios de investigación científica y desarrollo</v>
          </cell>
          <cell r="C189" t="str">
            <v>S</v>
          </cell>
        </row>
        <row r="190">
          <cell r="A190">
            <v>336000</v>
          </cell>
          <cell r="B190" t="str">
            <v>Servicios de apoyo administrativo, traducción, fotocopiado e impresión</v>
          </cell>
          <cell r="C190" t="str">
            <v>N</v>
          </cell>
        </row>
        <row r="191">
          <cell r="A191">
            <v>336001</v>
          </cell>
          <cell r="B191" t="str">
            <v>Servicio de Fotocopiado, Enmicado y Encuadernación de Documentos.</v>
          </cell>
          <cell r="C191" t="str">
            <v>S</v>
          </cell>
        </row>
        <row r="192">
          <cell r="A192">
            <v>336002</v>
          </cell>
          <cell r="B192" t="str">
            <v>Servicio de Impresión y Elaboración de Material Informativo</v>
          </cell>
          <cell r="C192" t="str">
            <v>S</v>
          </cell>
        </row>
        <row r="193">
          <cell r="A193">
            <v>337000</v>
          </cell>
          <cell r="B193" t="str">
            <v>Servicios de protección y seguridad</v>
          </cell>
          <cell r="C193" t="str">
            <v>N</v>
          </cell>
        </row>
        <row r="194">
          <cell r="A194">
            <v>337001</v>
          </cell>
          <cell r="B194" t="str">
            <v>Dispositivo de seguridad pública</v>
          </cell>
          <cell r="C194" t="str">
            <v>S</v>
          </cell>
        </row>
        <row r="195">
          <cell r="A195">
            <v>338000</v>
          </cell>
          <cell r="B195" t="str">
            <v>Servicios de vigilancia</v>
          </cell>
          <cell r="C195" t="str">
            <v>N</v>
          </cell>
        </row>
        <row r="196">
          <cell r="A196">
            <v>338001</v>
          </cell>
          <cell r="B196" t="str">
            <v>Servicio de seguridad privada</v>
          </cell>
          <cell r="C196" t="str">
            <v>S</v>
          </cell>
        </row>
        <row r="197">
          <cell r="A197">
            <v>339000</v>
          </cell>
          <cell r="B197" t="str">
            <v>Servicios profesionales, científicos y técnicos integrales</v>
          </cell>
          <cell r="C197" t="str">
            <v>N</v>
          </cell>
        </row>
        <row r="198">
          <cell r="A198">
            <v>339001</v>
          </cell>
          <cell r="B198" t="str">
            <v>Servicios profesionales, científicos y técnicos integrales</v>
          </cell>
          <cell r="C198" t="str">
            <v>S</v>
          </cell>
        </row>
        <row r="199">
          <cell r="A199">
            <v>340000</v>
          </cell>
          <cell r="B199" t="str">
            <v>SERVICIOS FINANCIEROS, BANCARIOS Y COMERCIALES</v>
          </cell>
          <cell r="C199" t="str">
            <v>N</v>
          </cell>
        </row>
        <row r="200">
          <cell r="A200">
            <v>341000</v>
          </cell>
          <cell r="B200" t="str">
            <v>Servicios financieros y bancarios</v>
          </cell>
          <cell r="C200" t="str">
            <v>N</v>
          </cell>
        </row>
        <row r="201">
          <cell r="A201">
            <v>341001</v>
          </cell>
          <cell r="B201" t="str">
            <v>Comisiones, descuentos y otros servicios bancarios</v>
          </cell>
          <cell r="C201" t="str">
            <v>S</v>
          </cell>
        </row>
        <row r="202">
          <cell r="A202">
            <v>342000</v>
          </cell>
          <cell r="B202" t="str">
            <v>Servicios de cobranza, investigación crediticia y similar</v>
          </cell>
          <cell r="C202" t="str">
            <v>N</v>
          </cell>
        </row>
        <row r="203">
          <cell r="A203">
            <v>342001</v>
          </cell>
          <cell r="B203" t="str">
            <v>Servicios de cobranza, investigación crediticia y similar</v>
          </cell>
          <cell r="C203" t="str">
            <v>S</v>
          </cell>
        </row>
        <row r="204">
          <cell r="A204">
            <v>343000</v>
          </cell>
          <cell r="B204" t="str">
            <v>Servicios de recaudación, traslado y custodia de valores</v>
          </cell>
          <cell r="C204" t="str">
            <v>N</v>
          </cell>
        </row>
        <row r="205">
          <cell r="A205">
            <v>343001</v>
          </cell>
          <cell r="B205" t="str">
            <v>Servicios de recaudación, traslado y custodia de valores</v>
          </cell>
          <cell r="C205" t="str">
            <v>S</v>
          </cell>
        </row>
        <row r="206">
          <cell r="A206">
            <v>344000</v>
          </cell>
          <cell r="B206" t="str">
            <v>Seguros de responsabilidad patrimonial y fianzas</v>
          </cell>
          <cell r="C206" t="str">
            <v>N</v>
          </cell>
        </row>
        <row r="207">
          <cell r="A207">
            <v>344001</v>
          </cell>
          <cell r="B207" t="str">
            <v>Seguros de responsabilidad patrimonial y fianzas</v>
          </cell>
          <cell r="C207" t="str">
            <v>S</v>
          </cell>
        </row>
        <row r="208">
          <cell r="A208">
            <v>345000</v>
          </cell>
          <cell r="B208" t="str">
            <v>Seguro de bienes patrimoniales</v>
          </cell>
          <cell r="C208" t="str">
            <v>N</v>
          </cell>
        </row>
        <row r="209">
          <cell r="A209">
            <v>345001</v>
          </cell>
          <cell r="B209" t="str">
            <v>Seguros</v>
          </cell>
          <cell r="C209" t="str">
            <v>S</v>
          </cell>
        </row>
        <row r="210">
          <cell r="A210">
            <v>346000</v>
          </cell>
          <cell r="B210" t="str">
            <v>Almacenaje, envase y embalaje</v>
          </cell>
          <cell r="C210" t="str">
            <v>N</v>
          </cell>
        </row>
        <row r="211">
          <cell r="A211">
            <v>346001</v>
          </cell>
          <cell r="B211" t="str">
            <v>Almacenaje, envase y embalaje</v>
          </cell>
          <cell r="C211" t="str">
            <v>S</v>
          </cell>
        </row>
        <row r="212">
          <cell r="A212">
            <v>347000</v>
          </cell>
          <cell r="B212" t="str">
            <v>Fletes y maniobras</v>
          </cell>
          <cell r="C212" t="str">
            <v>N</v>
          </cell>
        </row>
        <row r="213">
          <cell r="A213">
            <v>347001</v>
          </cell>
          <cell r="B213" t="str">
            <v>Fletes, maniobras y almacenaje</v>
          </cell>
          <cell r="C213" t="str">
            <v>S</v>
          </cell>
        </row>
        <row r="214">
          <cell r="A214">
            <v>348000</v>
          </cell>
          <cell r="B214" t="str">
            <v>Comisiones por ventas</v>
          </cell>
          <cell r="C214" t="str">
            <v>N</v>
          </cell>
        </row>
        <row r="215">
          <cell r="A215">
            <v>348001</v>
          </cell>
          <cell r="B215" t="str">
            <v>Comisiones por ventas</v>
          </cell>
          <cell r="C215" t="str">
            <v>S</v>
          </cell>
        </row>
        <row r="216">
          <cell r="A216">
            <v>349000</v>
          </cell>
          <cell r="B216" t="str">
            <v>Servicios financieros, bancarios y comerciales integrales</v>
          </cell>
          <cell r="C216" t="str">
            <v>N</v>
          </cell>
        </row>
        <row r="217">
          <cell r="A217">
            <v>349001</v>
          </cell>
          <cell r="B217" t="str">
            <v>Servicios financieros, bancarios y comerciales integrales</v>
          </cell>
          <cell r="C217" t="str">
            <v>S</v>
          </cell>
        </row>
        <row r="218">
          <cell r="A218">
            <v>350000</v>
          </cell>
          <cell r="B218" t="str">
            <v>SERVICIOS DE INSTALACIÓN, REPARACIÓN, MANTENIMIENTO Y CONSERVACIÓN</v>
          </cell>
          <cell r="C218" t="str">
            <v>N</v>
          </cell>
        </row>
        <row r="219">
          <cell r="A219">
            <v>351000</v>
          </cell>
          <cell r="B219" t="str">
            <v>Conservación y mantenimiento menor de inmuebles</v>
          </cell>
          <cell r="C219" t="str">
            <v>N</v>
          </cell>
        </row>
        <row r="220">
          <cell r="A220">
            <v>351001</v>
          </cell>
          <cell r="B220" t="str">
            <v>Mantenimiento de inmuebles</v>
          </cell>
          <cell r="C220" t="str">
            <v>S</v>
          </cell>
        </row>
        <row r="221">
          <cell r="A221">
            <v>351002</v>
          </cell>
          <cell r="B221" t="str">
            <v>Fumigación de Inmuebles</v>
          </cell>
          <cell r="C221" t="str">
            <v>S</v>
          </cell>
        </row>
        <row r="222">
          <cell r="A222">
            <v>351003</v>
          </cell>
          <cell r="B222" t="str">
            <v>Mantto. y Conserv. de Inmuebles Sub Proc. Zona Norte</v>
          </cell>
          <cell r="C222" t="str">
            <v>S</v>
          </cell>
        </row>
        <row r="223">
          <cell r="A223">
            <v>352000</v>
          </cell>
          <cell r="B223" t="str">
            <v>Instalación, reparación y mantenimiento de mobiliario y equipo de administración, educacional y recreativo</v>
          </cell>
          <cell r="C223" t="str">
            <v>N</v>
          </cell>
        </row>
        <row r="224">
          <cell r="A224">
            <v>352001</v>
          </cell>
          <cell r="B224" t="str">
            <v>Mantenimiento de mobiliario y equipo</v>
          </cell>
          <cell r="C224" t="str">
            <v>S</v>
          </cell>
        </row>
        <row r="225">
          <cell r="A225">
            <v>352002</v>
          </cell>
          <cell r="B225" t="str">
            <v>Gastos de instalación</v>
          </cell>
          <cell r="C225" t="str">
            <v>S</v>
          </cell>
        </row>
        <row r="226">
          <cell r="A226">
            <v>352003</v>
          </cell>
          <cell r="B226" t="str">
            <v>Mantto. y Conservación Archivo General de Notarias del Gob. del Edo.</v>
          </cell>
          <cell r="C226" t="str">
            <v>S</v>
          </cell>
        </row>
        <row r="227">
          <cell r="A227">
            <v>353000</v>
          </cell>
          <cell r="B227" t="str">
            <v>Instalación, reparación y mantenimiento de equipo de cómputo y tecnología de la información</v>
          </cell>
          <cell r="C227" t="str">
            <v>N</v>
          </cell>
        </row>
        <row r="228">
          <cell r="A228">
            <v>353001</v>
          </cell>
          <cell r="B228" t="str">
            <v>Instalación, reparación y mantenimiento de equipo de cómputo y tecnología  de la información</v>
          </cell>
          <cell r="C228" t="str">
            <v>S</v>
          </cell>
        </row>
        <row r="229">
          <cell r="A229">
            <v>354000</v>
          </cell>
          <cell r="B229" t="str">
            <v>Instalación, reparación y mantenimiento de equipo e instrumental médico y de laboratorio</v>
          </cell>
          <cell r="C229" t="str">
            <v>N</v>
          </cell>
        </row>
        <row r="230">
          <cell r="A230">
            <v>354001</v>
          </cell>
          <cell r="B230" t="str">
            <v>Instalación, reparación y mantenimiento de equipo e instrumental médico y de laboratorio</v>
          </cell>
          <cell r="C230" t="str">
            <v>S</v>
          </cell>
        </row>
        <row r="231">
          <cell r="A231">
            <v>355000</v>
          </cell>
          <cell r="B231" t="str">
            <v>Reparación y mantenimiento de equipo de transporte</v>
          </cell>
          <cell r="C231" t="str">
            <v>N</v>
          </cell>
        </row>
        <row r="232">
          <cell r="A232">
            <v>355001</v>
          </cell>
          <cell r="B232" t="str">
            <v>Mantto. y conservación de vehículos terrestres, aéreos, marítimos, lacustres y fluviales</v>
          </cell>
          <cell r="C232" t="str">
            <v>S</v>
          </cell>
        </row>
        <row r="233">
          <cell r="A233">
            <v>356000</v>
          </cell>
          <cell r="B233" t="str">
            <v>Reparación y mantenimiento de equipo de defensa y seguridad</v>
          </cell>
          <cell r="C233" t="str">
            <v>N</v>
          </cell>
        </row>
        <row r="234">
          <cell r="A234">
            <v>356001</v>
          </cell>
          <cell r="B234" t="str">
            <v>Reparación y mantenimiento de equipo de defensa y seguridad</v>
          </cell>
          <cell r="C234" t="str">
            <v>S</v>
          </cell>
        </row>
        <row r="235">
          <cell r="A235">
            <v>357000</v>
          </cell>
          <cell r="B235" t="str">
            <v>Instalación, reparación y mantenimiento de maquinaria, otros equipos y herramienta</v>
          </cell>
          <cell r="C235" t="str">
            <v>N</v>
          </cell>
        </row>
        <row r="236">
          <cell r="A236">
            <v>357001</v>
          </cell>
          <cell r="B236" t="str">
            <v>Instalación, reparación y mantenimiento de Equipo de Telecomunicaciones</v>
          </cell>
          <cell r="C236" t="str">
            <v>S</v>
          </cell>
        </row>
        <row r="237">
          <cell r="A237">
            <v>357002</v>
          </cell>
          <cell r="B237" t="str">
            <v>Instalación, reparación y mantenimiento de maquinaria, otros equipos y herramienta</v>
          </cell>
          <cell r="C237" t="str">
            <v>S</v>
          </cell>
        </row>
        <row r="238">
          <cell r="A238">
            <v>358000</v>
          </cell>
          <cell r="B238" t="str">
            <v>Servicios de limpieza y manejo de desechos</v>
          </cell>
          <cell r="C238" t="str">
            <v>N</v>
          </cell>
        </row>
        <row r="239">
          <cell r="A239">
            <v>358001</v>
          </cell>
          <cell r="B239" t="str">
            <v>Servicios de higiene y limpieza</v>
          </cell>
          <cell r="C239" t="str">
            <v>S</v>
          </cell>
        </row>
        <row r="240">
          <cell r="A240">
            <v>358002</v>
          </cell>
          <cell r="B240" t="str">
            <v>Servicios de Limpieza y Lavado de Vehículos</v>
          </cell>
          <cell r="C240" t="str">
            <v>S</v>
          </cell>
        </row>
        <row r="241">
          <cell r="A241">
            <v>358003</v>
          </cell>
          <cell r="B241" t="str">
            <v>Servicios de Lavandería</v>
          </cell>
          <cell r="C241" t="str">
            <v>S</v>
          </cell>
        </row>
        <row r="242">
          <cell r="A242">
            <v>359000</v>
          </cell>
          <cell r="B242" t="str">
            <v>Servicios de jardinería y fumigación</v>
          </cell>
          <cell r="C242" t="str">
            <v>N</v>
          </cell>
        </row>
        <row r="243">
          <cell r="A243">
            <v>359001</v>
          </cell>
          <cell r="B243" t="str">
            <v>Árboles, plantas, semillas y abonos</v>
          </cell>
          <cell r="C243" t="str">
            <v>S</v>
          </cell>
        </row>
        <row r="244">
          <cell r="A244">
            <v>359002</v>
          </cell>
          <cell r="B244" t="str">
            <v>Fumigación de áreas verdes</v>
          </cell>
          <cell r="C244" t="str">
            <v>S</v>
          </cell>
        </row>
        <row r="245">
          <cell r="A245">
            <v>360000</v>
          </cell>
          <cell r="B245" t="str">
            <v>SERVICIOS DE COMUNICACIÓN SOCIAL Y PUBLICIDAD</v>
          </cell>
          <cell r="C245" t="str">
            <v>N</v>
          </cell>
        </row>
        <row r="246">
          <cell r="A246">
            <v>361000</v>
          </cell>
          <cell r="B246" t="str">
            <v>Difusión por radio, televisión y otros medios de mensajes sobre programas y actividades gubernamentales</v>
          </cell>
          <cell r="C246" t="str">
            <v>N</v>
          </cell>
        </row>
        <row r="247">
          <cell r="A247">
            <v>361001</v>
          </cell>
          <cell r="B247" t="str">
            <v>Gastos de difusión</v>
          </cell>
          <cell r="C247" t="str">
            <v>S</v>
          </cell>
        </row>
        <row r="248">
          <cell r="A248">
            <v>361002</v>
          </cell>
          <cell r="B248" t="str">
            <v>Impresiones y publicaciones oficiales</v>
          </cell>
          <cell r="C248" t="str">
            <v>S</v>
          </cell>
        </row>
        <row r="249">
          <cell r="A249">
            <v>361003</v>
          </cell>
          <cell r="B249" t="str">
            <v>Rotulaciones oficiales</v>
          </cell>
          <cell r="C249" t="str">
            <v>S</v>
          </cell>
        </row>
        <row r="250">
          <cell r="A250">
            <v>361004</v>
          </cell>
          <cell r="B250" t="str">
            <v>Publicación de convocatorias</v>
          </cell>
          <cell r="C250" t="str">
            <v>S</v>
          </cell>
        </row>
        <row r="251">
          <cell r="A251">
            <v>362000</v>
          </cell>
          <cell r="B251" t="str">
            <v>Difusión por radio, televisión y otros medios de mensajes comerciales para promover la venta de bienes o servicios</v>
          </cell>
          <cell r="C251" t="str">
            <v>N</v>
          </cell>
        </row>
        <row r="252">
          <cell r="A252">
            <v>362001</v>
          </cell>
          <cell r="B252" t="str">
            <v>Difusión por radio, televisión y otros medios de mensajes comerciales para promover la venta de bienes o servicios</v>
          </cell>
          <cell r="C252" t="str">
            <v>S</v>
          </cell>
        </row>
        <row r="253">
          <cell r="A253">
            <v>362002</v>
          </cell>
          <cell r="B253" t="str">
            <v>Difusión por radio, televisión y otros medios de mensajes comerciales para promover la venta de bienes o servicios, fuera del país</v>
          </cell>
          <cell r="C253" t="str">
            <v>S</v>
          </cell>
        </row>
        <row r="254">
          <cell r="A254">
            <v>363000</v>
          </cell>
          <cell r="B254" t="str">
            <v>Servicios de creatividad, preproducción y producción de publicidad, excepto Internet</v>
          </cell>
          <cell r="C254" t="str">
            <v>N</v>
          </cell>
        </row>
        <row r="255">
          <cell r="A255">
            <v>363001</v>
          </cell>
          <cell r="B255" t="str">
            <v>Servicios de Producción y Diseño Publicitario</v>
          </cell>
          <cell r="C255" t="str">
            <v>S</v>
          </cell>
        </row>
        <row r="256">
          <cell r="A256">
            <v>364000</v>
          </cell>
          <cell r="B256" t="str">
            <v>Servicios de revelado de fotografías</v>
          </cell>
          <cell r="C256" t="str">
            <v>N</v>
          </cell>
        </row>
        <row r="257">
          <cell r="A257">
            <v>364001</v>
          </cell>
          <cell r="B257" t="str">
            <v>Revelado de Fotografías</v>
          </cell>
          <cell r="C257" t="str">
            <v>S</v>
          </cell>
        </row>
        <row r="258">
          <cell r="A258">
            <v>365000</v>
          </cell>
          <cell r="B258" t="str">
            <v>Servicios de la industria fílmica, del sonido y del video</v>
          </cell>
          <cell r="C258" t="str">
            <v>N</v>
          </cell>
        </row>
        <row r="259">
          <cell r="A259">
            <v>365001</v>
          </cell>
          <cell r="B259" t="str">
            <v>Servicios de la industria fílmica, del sonido y del video</v>
          </cell>
          <cell r="C259" t="str">
            <v>S</v>
          </cell>
        </row>
        <row r="260">
          <cell r="A260">
            <v>366000</v>
          </cell>
          <cell r="B260" t="str">
            <v>Servicio de creación y difusión de contenido exclusivamente a través de Internet</v>
          </cell>
          <cell r="C260" t="str">
            <v>N</v>
          </cell>
        </row>
        <row r="261">
          <cell r="A261">
            <v>366001</v>
          </cell>
          <cell r="B261" t="str">
            <v>Gastos de difusión a través de internet</v>
          </cell>
          <cell r="C261" t="str">
            <v>S</v>
          </cell>
        </row>
        <row r="262">
          <cell r="A262">
            <v>369000</v>
          </cell>
          <cell r="B262" t="str">
            <v>Otros servicios de información</v>
          </cell>
          <cell r="C262" t="str">
            <v>N</v>
          </cell>
        </row>
        <row r="263">
          <cell r="A263">
            <v>369001</v>
          </cell>
          <cell r="B263" t="str">
            <v>Monitoreo de Información y Encuestas</v>
          </cell>
          <cell r="C263" t="str">
            <v>S</v>
          </cell>
        </row>
        <row r="264">
          <cell r="A264">
            <v>370000</v>
          </cell>
          <cell r="B264" t="str">
            <v>SERVICIOS DE TRASLADO Y VIÁTICOS</v>
          </cell>
          <cell r="C264" t="str">
            <v>N</v>
          </cell>
        </row>
        <row r="265">
          <cell r="A265">
            <v>371000</v>
          </cell>
          <cell r="B265" t="str">
            <v>Pasajes aéreos</v>
          </cell>
          <cell r="C265" t="str">
            <v>N</v>
          </cell>
        </row>
        <row r="266">
          <cell r="A266">
            <v>371001</v>
          </cell>
          <cell r="B266" t="str">
            <v>Pasajes aéreos</v>
          </cell>
          <cell r="C266" t="str">
            <v>S</v>
          </cell>
        </row>
        <row r="267">
          <cell r="A267">
            <v>372000</v>
          </cell>
          <cell r="B267" t="str">
            <v>Pasajes terrestres</v>
          </cell>
          <cell r="C267" t="str">
            <v>N</v>
          </cell>
        </row>
        <row r="268">
          <cell r="A268">
            <v>372001</v>
          </cell>
          <cell r="B268" t="str">
            <v>Pasajes terrestres</v>
          </cell>
          <cell r="C268" t="str">
            <v>S</v>
          </cell>
        </row>
        <row r="269">
          <cell r="A269">
            <v>373000</v>
          </cell>
          <cell r="B269" t="str">
            <v>Pasajes marítimos, lacustres y fluviales</v>
          </cell>
          <cell r="C269" t="str">
            <v>N</v>
          </cell>
        </row>
        <row r="270">
          <cell r="A270">
            <v>373001</v>
          </cell>
          <cell r="B270" t="str">
            <v>Pasajes marítimos</v>
          </cell>
          <cell r="C270" t="str">
            <v>S</v>
          </cell>
        </row>
        <row r="271">
          <cell r="A271">
            <v>374000</v>
          </cell>
          <cell r="B271" t="str">
            <v>Autotransporte</v>
          </cell>
          <cell r="C271" t="str">
            <v>N</v>
          </cell>
        </row>
        <row r="272">
          <cell r="A272">
            <v>374001</v>
          </cell>
          <cell r="B272" t="str">
            <v>Autotransporte</v>
          </cell>
          <cell r="C272" t="str">
            <v>S</v>
          </cell>
        </row>
        <row r="273">
          <cell r="A273">
            <v>375000</v>
          </cell>
          <cell r="B273" t="str">
            <v>Viáticos en el país</v>
          </cell>
          <cell r="C273" t="str">
            <v>N</v>
          </cell>
        </row>
        <row r="274">
          <cell r="A274">
            <v>375001</v>
          </cell>
          <cell r="B274" t="str">
            <v>Viáticos</v>
          </cell>
          <cell r="C274" t="str">
            <v>S</v>
          </cell>
        </row>
        <row r="275">
          <cell r="A275">
            <v>376000</v>
          </cell>
          <cell r="B275" t="str">
            <v>Viáticos en el extranjero</v>
          </cell>
          <cell r="C275" t="str">
            <v>N</v>
          </cell>
        </row>
        <row r="276">
          <cell r="A276">
            <v>376001</v>
          </cell>
          <cell r="B276" t="str">
            <v>Viáticos en el extranjero</v>
          </cell>
          <cell r="C276" t="str">
            <v>S</v>
          </cell>
        </row>
        <row r="277">
          <cell r="A277">
            <v>377000</v>
          </cell>
          <cell r="B277" t="str">
            <v>Gastos de instalación y traslado de menaje</v>
          </cell>
          <cell r="C277" t="str">
            <v>N</v>
          </cell>
        </row>
        <row r="278">
          <cell r="A278">
            <v>377001</v>
          </cell>
          <cell r="B278" t="str">
            <v>Gastos de instalación y traslado de menaje</v>
          </cell>
          <cell r="C278" t="str">
            <v>S</v>
          </cell>
        </row>
        <row r="279">
          <cell r="A279">
            <v>378000</v>
          </cell>
          <cell r="B279" t="str">
            <v>Servicios integrales de traslado y viáticos</v>
          </cell>
          <cell r="C279" t="str">
            <v>N</v>
          </cell>
        </row>
        <row r="280">
          <cell r="A280">
            <v>378001</v>
          </cell>
          <cell r="B280" t="str">
            <v>Diligencias judiciales</v>
          </cell>
          <cell r="C280" t="str">
            <v>S</v>
          </cell>
        </row>
        <row r="281">
          <cell r="A281">
            <v>379000</v>
          </cell>
          <cell r="B281" t="str">
            <v>Otros servicios de traslado y hospedaje</v>
          </cell>
          <cell r="C281" t="str">
            <v>N</v>
          </cell>
        </row>
        <row r="282">
          <cell r="A282">
            <v>379001</v>
          </cell>
          <cell r="B282" t="str">
            <v>Traslado de vehículos</v>
          </cell>
          <cell r="C282" t="str">
            <v>S</v>
          </cell>
        </row>
        <row r="283">
          <cell r="A283">
            <v>379002</v>
          </cell>
          <cell r="B283" t="str">
            <v>Gastos de traslado de personas</v>
          </cell>
          <cell r="C283" t="str">
            <v>S</v>
          </cell>
        </row>
        <row r="284">
          <cell r="A284">
            <v>379003</v>
          </cell>
          <cell r="B284" t="str">
            <v>Hospedaje de personas</v>
          </cell>
          <cell r="C284" t="str">
            <v>S</v>
          </cell>
        </row>
        <row r="285">
          <cell r="A285">
            <v>380000</v>
          </cell>
          <cell r="B285" t="str">
            <v>SERVICIOS OFICIALES</v>
          </cell>
          <cell r="C285" t="str">
            <v>N</v>
          </cell>
        </row>
        <row r="286">
          <cell r="A286">
            <v>381000</v>
          </cell>
          <cell r="B286" t="str">
            <v>Gastos de ceremonial</v>
          </cell>
          <cell r="C286" t="str">
            <v>N</v>
          </cell>
        </row>
        <row r="287">
          <cell r="A287">
            <v>381001</v>
          </cell>
          <cell r="B287" t="str">
            <v>Atención a personalidades nacionales y extranjeras</v>
          </cell>
          <cell r="C287" t="str">
            <v>S</v>
          </cell>
        </row>
        <row r="288">
          <cell r="A288">
            <v>382000</v>
          </cell>
          <cell r="B288" t="str">
            <v>Gastos de orden social y cultural</v>
          </cell>
          <cell r="C288" t="str">
            <v>N</v>
          </cell>
        </row>
        <row r="289">
          <cell r="A289">
            <v>382001</v>
          </cell>
          <cell r="B289" t="str">
            <v>Espectáculos y actividades culturales</v>
          </cell>
          <cell r="C289" t="str">
            <v>S</v>
          </cell>
        </row>
        <row r="290">
          <cell r="A290">
            <v>382002</v>
          </cell>
          <cell r="B290" t="str">
            <v>Gastos de recepción, conmemorativos y de orden social</v>
          </cell>
          <cell r="C290" t="str">
            <v>S</v>
          </cell>
        </row>
        <row r="291">
          <cell r="A291">
            <v>382003</v>
          </cell>
          <cell r="B291" t="str">
            <v>Adaptaciones para eventos sociales y culturales</v>
          </cell>
          <cell r="C291" t="str">
            <v>S</v>
          </cell>
        </row>
        <row r="292">
          <cell r="A292">
            <v>382004</v>
          </cell>
          <cell r="B292" t="str">
            <v>Festividades y Eventos</v>
          </cell>
          <cell r="C292" t="str">
            <v>S</v>
          </cell>
        </row>
        <row r="293">
          <cell r="A293">
            <v>383000</v>
          </cell>
          <cell r="B293" t="str">
            <v>Congresos y convenciones</v>
          </cell>
          <cell r="C293" t="str">
            <v>N</v>
          </cell>
        </row>
        <row r="294">
          <cell r="A294">
            <v>383001</v>
          </cell>
          <cell r="B294" t="str">
            <v>Congresos y convenciones</v>
          </cell>
          <cell r="C294" t="str">
            <v>S</v>
          </cell>
        </row>
        <row r="295">
          <cell r="A295">
            <v>384000</v>
          </cell>
          <cell r="B295" t="str">
            <v>Exposiciones</v>
          </cell>
          <cell r="C295" t="str">
            <v>N</v>
          </cell>
        </row>
        <row r="296">
          <cell r="A296">
            <v>384001</v>
          </cell>
          <cell r="B296" t="str">
            <v>Exposiciones</v>
          </cell>
          <cell r="C296" t="str">
            <v>S</v>
          </cell>
        </row>
        <row r="297">
          <cell r="A297">
            <v>385000</v>
          </cell>
          <cell r="B297" t="str">
            <v>Gastos de representación</v>
          </cell>
          <cell r="C297" t="str">
            <v>N</v>
          </cell>
        </row>
        <row r="298">
          <cell r="A298">
            <v>385001</v>
          </cell>
          <cell r="B298" t="str">
            <v>Gastos de representación</v>
          </cell>
          <cell r="C298" t="str">
            <v>S</v>
          </cell>
        </row>
        <row r="299">
          <cell r="A299">
            <v>390000</v>
          </cell>
          <cell r="B299" t="str">
            <v>OTROS SERVICIOS GENERALES</v>
          </cell>
          <cell r="C299" t="str">
            <v>N</v>
          </cell>
        </row>
        <row r="300">
          <cell r="A300">
            <v>391000</v>
          </cell>
          <cell r="B300" t="str">
            <v>Servicios funerarios y de cementerios</v>
          </cell>
          <cell r="C300" t="str">
            <v>N</v>
          </cell>
        </row>
        <row r="301">
          <cell r="A301">
            <v>391001</v>
          </cell>
          <cell r="B301" t="str">
            <v>Servicios funerarios y de cementerios</v>
          </cell>
          <cell r="C301" t="str">
            <v>S</v>
          </cell>
        </row>
        <row r="302">
          <cell r="A302">
            <v>392000</v>
          </cell>
          <cell r="B302" t="str">
            <v>Impuestos y derechos</v>
          </cell>
          <cell r="C302" t="str">
            <v>N</v>
          </cell>
        </row>
        <row r="303">
          <cell r="A303">
            <v>392001</v>
          </cell>
          <cell r="B303" t="str">
            <v>Impuestos y derechos</v>
          </cell>
          <cell r="C303" t="str">
            <v>S</v>
          </cell>
        </row>
        <row r="304">
          <cell r="A304">
            <v>393000</v>
          </cell>
          <cell r="B304" t="str">
            <v>Impuestos y derechos de importación</v>
          </cell>
          <cell r="C304" t="str">
            <v>N</v>
          </cell>
        </row>
        <row r="305">
          <cell r="A305">
            <v>393001</v>
          </cell>
          <cell r="B305" t="str">
            <v>Impuestos y derechos de importación</v>
          </cell>
          <cell r="C305" t="str">
            <v>S</v>
          </cell>
        </row>
        <row r="306">
          <cell r="A306">
            <v>394000</v>
          </cell>
          <cell r="B306" t="str">
            <v>Sentencias y resoluciones judiciales</v>
          </cell>
          <cell r="C306" t="str">
            <v>N</v>
          </cell>
        </row>
        <row r="307">
          <cell r="A307">
            <v>394001</v>
          </cell>
          <cell r="B307" t="str">
            <v>Sentencias y resoluciones judiciales</v>
          </cell>
          <cell r="C307" t="str">
            <v>S</v>
          </cell>
        </row>
        <row r="308">
          <cell r="A308">
            <v>395000</v>
          </cell>
          <cell r="B308" t="str">
            <v>Penas, multas, accesorios y actualizaciones</v>
          </cell>
          <cell r="C308" t="str">
            <v>N</v>
          </cell>
        </row>
        <row r="309">
          <cell r="A309">
            <v>395001</v>
          </cell>
          <cell r="B309" t="str">
            <v>Penas, multas, accesorios y actualizaciones</v>
          </cell>
          <cell r="C309" t="str">
            <v>S</v>
          </cell>
        </row>
        <row r="310">
          <cell r="A310">
            <v>396000</v>
          </cell>
          <cell r="B310" t="str">
            <v>Otros gastos por responsabilidades</v>
          </cell>
          <cell r="C310" t="str">
            <v>N</v>
          </cell>
        </row>
        <row r="311">
          <cell r="A311">
            <v>396001</v>
          </cell>
          <cell r="B311" t="str">
            <v>Otros gastos por responsabilidades</v>
          </cell>
          <cell r="C311" t="str">
            <v>S</v>
          </cell>
        </row>
        <row r="312">
          <cell r="A312">
            <v>399000</v>
          </cell>
          <cell r="B312" t="str">
            <v>Otros servicios generales</v>
          </cell>
          <cell r="C312" t="str">
            <v>N</v>
          </cell>
        </row>
        <row r="313">
          <cell r="A313">
            <v>399001</v>
          </cell>
          <cell r="B313" t="str">
            <v>Gastos menores</v>
          </cell>
          <cell r="C313" t="str">
            <v>S</v>
          </cell>
        </row>
        <row r="314">
          <cell r="A314">
            <v>399002</v>
          </cell>
          <cell r="B314" t="str">
            <v>Retribuciones a reos</v>
          </cell>
          <cell r="C314" t="str">
            <v>S</v>
          </cell>
        </row>
        <row r="315">
          <cell r="A315">
            <v>399003</v>
          </cell>
          <cell r="B315" t="str">
            <v>Otros servicios de la administración pública</v>
          </cell>
          <cell r="C315" t="str">
            <v>S</v>
          </cell>
        </row>
        <row r="316">
          <cell r="A316">
            <v>399004</v>
          </cell>
          <cell r="B316" t="str">
            <v>Previsión Arrendamientos</v>
          </cell>
          <cell r="C316" t="str">
            <v>Prev</v>
          </cell>
        </row>
        <row r="317">
          <cell r="A317">
            <v>500000</v>
          </cell>
          <cell r="B317" t="str">
            <v>BIENES MUEBLES, INMUEBLES E INTANGIBLES</v>
          </cell>
          <cell r="C317" t="str">
            <v>N</v>
          </cell>
        </row>
        <row r="318">
          <cell r="A318">
            <v>510000</v>
          </cell>
          <cell r="B318" t="str">
            <v>MOBILIARIO Y EQUIPO DE ADMINISTRACIÓN</v>
          </cell>
          <cell r="C318" t="str">
            <v>N</v>
          </cell>
        </row>
        <row r="319">
          <cell r="A319">
            <v>511000</v>
          </cell>
          <cell r="B319" t="str">
            <v>Muebles de oficina y estantería</v>
          </cell>
          <cell r="C319" t="str">
            <v>N</v>
          </cell>
        </row>
        <row r="320">
          <cell r="A320">
            <v>511001</v>
          </cell>
          <cell r="B320" t="str">
            <v>Mobiliario</v>
          </cell>
          <cell r="C320" t="str">
            <v>S</v>
          </cell>
        </row>
        <row r="321">
          <cell r="A321">
            <v>512000</v>
          </cell>
          <cell r="B321" t="str">
            <v>Muebles, excepto de oficina y estantería</v>
          </cell>
          <cell r="C321" t="str">
            <v>N</v>
          </cell>
        </row>
        <row r="322">
          <cell r="A322">
            <v>512001</v>
          </cell>
          <cell r="B322" t="str">
            <v>Muebles, excepto de oficina y estantería</v>
          </cell>
          <cell r="C322" t="str">
            <v>S</v>
          </cell>
        </row>
        <row r="323">
          <cell r="A323">
            <v>513000</v>
          </cell>
          <cell r="B323" t="str">
            <v>Bienes artísticos, culturales y científicos</v>
          </cell>
          <cell r="C323" t="str">
            <v>N</v>
          </cell>
        </row>
        <row r="324">
          <cell r="A324">
            <v>513001</v>
          </cell>
          <cell r="B324" t="str">
            <v>Bienes artísticos y culturales</v>
          </cell>
          <cell r="C324" t="str">
            <v>S</v>
          </cell>
        </row>
        <row r="325">
          <cell r="A325">
            <v>514000</v>
          </cell>
          <cell r="B325" t="str">
            <v>Objetos de valor</v>
          </cell>
          <cell r="C325" t="str">
            <v>N</v>
          </cell>
        </row>
        <row r="326">
          <cell r="A326">
            <v>514001</v>
          </cell>
          <cell r="B326" t="str">
            <v>Objetos de valor</v>
          </cell>
          <cell r="C326" t="str">
            <v>S</v>
          </cell>
        </row>
        <row r="327">
          <cell r="A327">
            <v>515000</v>
          </cell>
          <cell r="B327" t="str">
            <v>Equipo de cómputo y de tecnologías de la información</v>
          </cell>
          <cell r="C327" t="str">
            <v>N</v>
          </cell>
        </row>
        <row r="328">
          <cell r="A328">
            <v>515001</v>
          </cell>
          <cell r="B328" t="str">
            <v>Equipo de administración</v>
          </cell>
          <cell r="C328" t="str">
            <v>S</v>
          </cell>
        </row>
        <row r="329">
          <cell r="A329">
            <v>515002</v>
          </cell>
          <cell r="B329" t="str">
            <v>Equipo de Cómputo y Aparatos de Uso Informático</v>
          </cell>
          <cell r="C329" t="str">
            <v>S</v>
          </cell>
        </row>
        <row r="330">
          <cell r="A330">
            <v>515003</v>
          </cell>
          <cell r="B330" t="str">
            <v>Sistemas de Rastreo Satelital (GPS)</v>
          </cell>
          <cell r="C330" t="str">
            <v>S</v>
          </cell>
        </row>
        <row r="331">
          <cell r="A331">
            <v>519000</v>
          </cell>
          <cell r="B331" t="str">
            <v>Otros mobiliarios y equipos de administración</v>
          </cell>
          <cell r="C331" t="str">
            <v>N</v>
          </cell>
        </row>
        <row r="332">
          <cell r="A332">
            <v>519001</v>
          </cell>
          <cell r="B332" t="str">
            <v>Cámaras y Circuitos Cerrados de Seguridad</v>
          </cell>
          <cell r="C332" t="str">
            <v>S</v>
          </cell>
        </row>
        <row r="333">
          <cell r="A333">
            <v>519002</v>
          </cell>
          <cell r="B333" t="str">
            <v>Equipos de Audio</v>
          </cell>
          <cell r="C333" t="str">
            <v>S</v>
          </cell>
        </row>
        <row r="334">
          <cell r="A334">
            <v>519003</v>
          </cell>
          <cell r="B334" t="str">
            <v>Otras Herramientas, Mobiliarios y Eq. De Administración</v>
          </cell>
          <cell r="C334" t="str">
            <v>S</v>
          </cell>
        </row>
        <row r="335">
          <cell r="A335">
            <v>519004</v>
          </cell>
          <cell r="B335" t="str">
            <v>Aulas Móviles de Vigilancia</v>
          </cell>
          <cell r="C335" t="str">
            <v>S</v>
          </cell>
        </row>
        <row r="336">
          <cell r="A336">
            <v>520000</v>
          </cell>
          <cell r="B336" t="str">
            <v>MOBILIARIO Y EQUIPO EDUCACIONAL Y RECREATIVO</v>
          </cell>
          <cell r="C336" t="str">
            <v>N</v>
          </cell>
        </row>
        <row r="337">
          <cell r="A337">
            <v>521000</v>
          </cell>
          <cell r="B337" t="str">
            <v>Equipos y aparatos audiovisuales</v>
          </cell>
          <cell r="C337" t="str">
            <v>N</v>
          </cell>
        </row>
        <row r="338">
          <cell r="A338">
            <v>521001</v>
          </cell>
          <cell r="B338" t="str">
            <v>Equipo educacional y recreativo</v>
          </cell>
          <cell r="C338" t="str">
            <v>S</v>
          </cell>
        </row>
        <row r="339">
          <cell r="A339">
            <v>522000</v>
          </cell>
          <cell r="B339" t="str">
            <v>Aparatos deportivos</v>
          </cell>
          <cell r="C339" t="str">
            <v>N</v>
          </cell>
        </row>
        <row r="340">
          <cell r="A340">
            <v>522001</v>
          </cell>
          <cell r="B340" t="str">
            <v>Aparatos deportivos</v>
          </cell>
          <cell r="C340" t="str">
            <v>S</v>
          </cell>
        </row>
        <row r="341">
          <cell r="A341">
            <v>523000</v>
          </cell>
          <cell r="B341" t="str">
            <v>Cámaras fotográficas y de video</v>
          </cell>
          <cell r="C341" t="str">
            <v>N</v>
          </cell>
        </row>
        <row r="342">
          <cell r="A342">
            <v>523001</v>
          </cell>
          <cell r="B342" t="str">
            <v>Cámaras Fotográficas</v>
          </cell>
          <cell r="C342" t="str">
            <v>S</v>
          </cell>
        </row>
        <row r="343">
          <cell r="A343">
            <v>523002</v>
          </cell>
          <cell r="B343" t="str">
            <v>Cámaras de Video</v>
          </cell>
          <cell r="C343" t="str">
            <v>S</v>
          </cell>
        </row>
        <row r="344">
          <cell r="A344">
            <v>529000</v>
          </cell>
          <cell r="B344" t="str">
            <v>Otro mobiliario y equipo educacional y recreativo</v>
          </cell>
          <cell r="C344" t="str">
            <v>N</v>
          </cell>
        </row>
        <row r="345">
          <cell r="A345">
            <v>529001</v>
          </cell>
          <cell r="B345" t="str">
            <v>Instrumentos Musicales</v>
          </cell>
          <cell r="C345" t="str">
            <v>S</v>
          </cell>
        </row>
        <row r="346">
          <cell r="A346">
            <v>529002</v>
          </cell>
          <cell r="B346" t="str">
            <v>Equipo Educacional</v>
          </cell>
          <cell r="C346" t="str">
            <v>S</v>
          </cell>
        </row>
        <row r="347">
          <cell r="A347">
            <v>530000</v>
          </cell>
          <cell r="B347" t="str">
            <v>EQUIPO E INSTRUMENTAL MÉDICO Y DE LABORATORIO</v>
          </cell>
          <cell r="C347" t="str">
            <v>N</v>
          </cell>
        </row>
        <row r="348">
          <cell r="A348">
            <v>531000</v>
          </cell>
          <cell r="B348" t="str">
            <v>Equipo médico y de laboratorio</v>
          </cell>
          <cell r="C348" t="str">
            <v>N</v>
          </cell>
        </row>
        <row r="349">
          <cell r="A349">
            <v>531001</v>
          </cell>
          <cell r="B349" t="str">
            <v>Equipo e instrumental medico</v>
          </cell>
          <cell r="C349" t="str">
            <v>S</v>
          </cell>
        </row>
        <row r="350">
          <cell r="A350">
            <v>532000</v>
          </cell>
          <cell r="B350" t="str">
            <v>Instrumental médico y de laboratorio</v>
          </cell>
          <cell r="C350" t="str">
            <v>N</v>
          </cell>
        </row>
        <row r="351">
          <cell r="A351">
            <v>532001</v>
          </cell>
          <cell r="B351" t="str">
            <v>Instrumental médico y de laboratorio</v>
          </cell>
          <cell r="C351" t="str">
            <v>S</v>
          </cell>
        </row>
        <row r="352">
          <cell r="A352">
            <v>540000</v>
          </cell>
          <cell r="B352" t="str">
            <v>VEHÍCULOS Y EQUIPO DE TRANSPORTE</v>
          </cell>
          <cell r="C352" t="str">
            <v>N</v>
          </cell>
        </row>
        <row r="353">
          <cell r="A353">
            <v>541000</v>
          </cell>
          <cell r="B353" t="str">
            <v>Automóviles y camiones</v>
          </cell>
          <cell r="C353" t="str">
            <v>N</v>
          </cell>
        </row>
        <row r="354">
          <cell r="A354">
            <v>541001</v>
          </cell>
          <cell r="B354" t="str">
            <v>Vehículos y equipo terrestre</v>
          </cell>
          <cell r="C354" t="str">
            <v>S</v>
          </cell>
        </row>
        <row r="355">
          <cell r="A355">
            <v>542000</v>
          </cell>
          <cell r="B355" t="str">
            <v>Carrocerías y remolques</v>
          </cell>
          <cell r="C355" t="str">
            <v>N</v>
          </cell>
        </row>
        <row r="356">
          <cell r="A356">
            <v>542001</v>
          </cell>
          <cell r="B356" t="str">
            <v>Carrocerías y remolques</v>
          </cell>
          <cell r="C356" t="str">
            <v>S</v>
          </cell>
        </row>
        <row r="357">
          <cell r="A357">
            <v>543000</v>
          </cell>
          <cell r="B357" t="str">
            <v>Equipo aeroespacial</v>
          </cell>
          <cell r="C357" t="str">
            <v>N</v>
          </cell>
        </row>
        <row r="358">
          <cell r="A358">
            <v>543001</v>
          </cell>
          <cell r="B358" t="str">
            <v>Vehículos y equipo de transporte aéreo</v>
          </cell>
          <cell r="C358" t="str">
            <v>S</v>
          </cell>
        </row>
        <row r="359">
          <cell r="A359">
            <v>544000</v>
          </cell>
          <cell r="B359" t="str">
            <v>Equipo ferroviario</v>
          </cell>
          <cell r="C359" t="str">
            <v>N</v>
          </cell>
        </row>
        <row r="360">
          <cell r="A360">
            <v>544001</v>
          </cell>
          <cell r="B360" t="str">
            <v>Equipo ferroviario</v>
          </cell>
          <cell r="C360" t="str">
            <v>S</v>
          </cell>
        </row>
        <row r="361">
          <cell r="A361">
            <v>545000</v>
          </cell>
          <cell r="B361" t="str">
            <v>Embarcaciones</v>
          </cell>
          <cell r="C361" t="str">
            <v>N</v>
          </cell>
        </row>
        <row r="362">
          <cell r="A362">
            <v>545001</v>
          </cell>
          <cell r="B362" t="str">
            <v>Vehículos y equipo marino</v>
          </cell>
          <cell r="C362" t="str">
            <v>S</v>
          </cell>
        </row>
        <row r="363">
          <cell r="A363">
            <v>549000</v>
          </cell>
          <cell r="B363" t="str">
            <v>Otros Equipos de Transporte</v>
          </cell>
          <cell r="C363" t="str">
            <v>N</v>
          </cell>
        </row>
        <row r="364">
          <cell r="A364">
            <v>549001</v>
          </cell>
          <cell r="B364" t="str">
            <v>Otros equipos de transporte</v>
          </cell>
          <cell r="C364" t="str">
            <v>S</v>
          </cell>
        </row>
        <row r="365">
          <cell r="A365">
            <v>550000</v>
          </cell>
          <cell r="B365" t="str">
            <v>EQUIPO DE DEFENSA Y SEGURIDAD</v>
          </cell>
          <cell r="C365" t="str">
            <v>N</v>
          </cell>
        </row>
        <row r="366">
          <cell r="A366">
            <v>551000</v>
          </cell>
          <cell r="B366" t="str">
            <v>Equipo de defensa y seguridad</v>
          </cell>
          <cell r="C366" t="str">
            <v>N</v>
          </cell>
        </row>
        <row r="367">
          <cell r="A367">
            <v>551001</v>
          </cell>
          <cell r="B367" t="str">
            <v>Equipo de defensa y seguridad pública</v>
          </cell>
          <cell r="C367" t="str">
            <v>S</v>
          </cell>
        </row>
        <row r="368">
          <cell r="A368">
            <v>560000</v>
          </cell>
          <cell r="B368" t="str">
            <v>MAQUINARIA, OTROS EQUIPOS Y HERRAMIENTAS</v>
          </cell>
          <cell r="C368" t="str">
            <v>N</v>
          </cell>
        </row>
        <row r="369">
          <cell r="A369">
            <v>561000</v>
          </cell>
          <cell r="B369" t="str">
            <v>Maquinaria y equipo agropecuario</v>
          </cell>
          <cell r="C369" t="str">
            <v>N</v>
          </cell>
        </row>
        <row r="370">
          <cell r="A370">
            <v>561001</v>
          </cell>
          <cell r="B370" t="str">
            <v>Maquinaria y equipo agropecuario, industrial y de construcción</v>
          </cell>
          <cell r="C370" t="str">
            <v>S</v>
          </cell>
        </row>
        <row r="371">
          <cell r="A371">
            <v>562000</v>
          </cell>
          <cell r="B371" t="str">
            <v>Maquinaria y equipo industrial</v>
          </cell>
          <cell r="C371" t="str">
            <v>N</v>
          </cell>
        </row>
        <row r="372">
          <cell r="A372">
            <v>562001</v>
          </cell>
          <cell r="B372" t="str">
            <v>Bombas Industriales</v>
          </cell>
          <cell r="C372" t="str">
            <v>S</v>
          </cell>
        </row>
        <row r="373">
          <cell r="A373">
            <v>563000</v>
          </cell>
          <cell r="B373" t="str">
            <v>Maquinaria y equipo de construcción</v>
          </cell>
          <cell r="C373" t="str">
            <v>N</v>
          </cell>
        </row>
        <row r="374">
          <cell r="A374">
            <v>563001</v>
          </cell>
          <cell r="B374" t="str">
            <v>Maquinaria y equipo de construcción</v>
          </cell>
          <cell r="C374" t="str">
            <v>S</v>
          </cell>
        </row>
        <row r="375">
          <cell r="A375">
            <v>564000</v>
          </cell>
          <cell r="B375" t="str">
            <v>Sistemas de aire acondicionado, calefacción y de refrigeración industrial y comercial</v>
          </cell>
          <cell r="C375" t="str">
            <v>N</v>
          </cell>
        </row>
        <row r="376">
          <cell r="A376">
            <v>564001</v>
          </cell>
          <cell r="B376" t="str">
            <v>Sistemas de aire acondicionado, calefacción y de refrigeración industrial y comercial</v>
          </cell>
          <cell r="C376" t="str">
            <v>S</v>
          </cell>
        </row>
        <row r="377">
          <cell r="A377">
            <v>565000</v>
          </cell>
          <cell r="B377" t="str">
            <v>Equipo de comunicación y telecomunicación</v>
          </cell>
          <cell r="C377" t="str">
            <v>N</v>
          </cell>
        </row>
        <row r="378">
          <cell r="A378">
            <v>565001</v>
          </cell>
          <cell r="B378" t="str">
            <v>Maq. y equipo de telecomunicaciones, eléctrica y electrónica</v>
          </cell>
          <cell r="C378" t="str">
            <v>S</v>
          </cell>
        </row>
        <row r="379">
          <cell r="A379">
            <v>566000</v>
          </cell>
          <cell r="B379" t="str">
            <v>Equipos de generación eléctrica, aparatos y accesorios eléctricos</v>
          </cell>
          <cell r="C379" t="str">
            <v>N</v>
          </cell>
        </row>
        <row r="380">
          <cell r="A380">
            <v>566001</v>
          </cell>
          <cell r="B380" t="str">
            <v>Equipos de generación eléctrica</v>
          </cell>
          <cell r="C380" t="str">
            <v>S</v>
          </cell>
        </row>
        <row r="381">
          <cell r="A381">
            <v>566002</v>
          </cell>
          <cell r="B381" t="str">
            <v>Aparatos y Accesorios eléctricos</v>
          </cell>
          <cell r="C381" t="str">
            <v>S</v>
          </cell>
        </row>
        <row r="382">
          <cell r="A382">
            <v>567000</v>
          </cell>
          <cell r="B382" t="str">
            <v>Herramientas y máquinas-herramienta</v>
          </cell>
          <cell r="C382" t="str">
            <v>N</v>
          </cell>
        </row>
        <row r="383">
          <cell r="A383">
            <v>567001</v>
          </cell>
          <cell r="B383" t="str">
            <v>Herramientas y refacciones mayores</v>
          </cell>
          <cell r="C383" t="str">
            <v>S</v>
          </cell>
        </row>
        <row r="384">
          <cell r="A384">
            <v>569000</v>
          </cell>
          <cell r="B384" t="str">
            <v>Otros equipos</v>
          </cell>
          <cell r="C384" t="str">
            <v>N</v>
          </cell>
        </row>
        <row r="385">
          <cell r="A385">
            <v>569001</v>
          </cell>
          <cell r="B385" t="str">
            <v>Maquinaria y equipo diverso</v>
          </cell>
          <cell r="C385" t="str">
            <v>S</v>
          </cell>
        </row>
        <row r="386">
          <cell r="A386">
            <v>570000</v>
          </cell>
          <cell r="B386" t="str">
            <v>ACTIVOS BIOLÓGICOS</v>
          </cell>
          <cell r="C386" t="str">
            <v>N</v>
          </cell>
        </row>
        <row r="387">
          <cell r="A387">
            <v>571000</v>
          </cell>
          <cell r="B387" t="str">
            <v>Bovinos</v>
          </cell>
          <cell r="C387" t="str">
            <v>N</v>
          </cell>
        </row>
        <row r="388">
          <cell r="A388">
            <v>571001</v>
          </cell>
          <cell r="B388" t="str">
            <v>Bovinos</v>
          </cell>
          <cell r="C388" t="str">
            <v>S</v>
          </cell>
        </row>
        <row r="389">
          <cell r="A389">
            <v>572000</v>
          </cell>
          <cell r="B389" t="str">
            <v>Porcinos</v>
          </cell>
          <cell r="C389" t="str">
            <v>N</v>
          </cell>
        </row>
        <row r="390">
          <cell r="A390">
            <v>572001</v>
          </cell>
          <cell r="B390" t="str">
            <v>Porcinos</v>
          </cell>
          <cell r="C390" t="str">
            <v>S</v>
          </cell>
        </row>
        <row r="391">
          <cell r="A391">
            <v>573000</v>
          </cell>
          <cell r="B391" t="str">
            <v>Aves</v>
          </cell>
          <cell r="C391" t="str">
            <v>N</v>
          </cell>
        </row>
        <row r="392">
          <cell r="A392">
            <v>573001</v>
          </cell>
          <cell r="B392" t="str">
            <v>Aves</v>
          </cell>
          <cell r="C392" t="str">
            <v>S</v>
          </cell>
        </row>
        <row r="393">
          <cell r="A393">
            <v>574000</v>
          </cell>
          <cell r="B393" t="str">
            <v>Ovinos y caprinos</v>
          </cell>
          <cell r="C393" t="str">
            <v>N</v>
          </cell>
        </row>
        <row r="394">
          <cell r="A394">
            <v>574001</v>
          </cell>
          <cell r="B394" t="str">
            <v>Ovinos y caprinos</v>
          </cell>
          <cell r="C394" t="str">
            <v>S</v>
          </cell>
        </row>
        <row r="395">
          <cell r="A395">
            <v>575000</v>
          </cell>
          <cell r="B395" t="str">
            <v>Peces y acuicultura</v>
          </cell>
          <cell r="C395" t="str">
            <v>N</v>
          </cell>
        </row>
        <row r="396">
          <cell r="A396">
            <v>575001</v>
          </cell>
          <cell r="B396" t="str">
            <v>Peces y acuicultura</v>
          </cell>
          <cell r="C396" t="str">
            <v>S</v>
          </cell>
        </row>
        <row r="397">
          <cell r="A397">
            <v>576000</v>
          </cell>
          <cell r="B397" t="str">
            <v>Equinos</v>
          </cell>
          <cell r="C397" t="str">
            <v>N</v>
          </cell>
        </row>
        <row r="398">
          <cell r="A398">
            <v>576001</v>
          </cell>
          <cell r="B398" t="str">
            <v>Equinos</v>
          </cell>
          <cell r="C398" t="str">
            <v>S</v>
          </cell>
        </row>
        <row r="399">
          <cell r="A399">
            <v>577000</v>
          </cell>
          <cell r="B399" t="str">
            <v>Especies menores y de zoológico</v>
          </cell>
          <cell r="C399" t="str">
            <v>N</v>
          </cell>
        </row>
        <row r="400">
          <cell r="A400">
            <v>577001</v>
          </cell>
          <cell r="B400" t="str">
            <v>Especies menores y de zoológico</v>
          </cell>
          <cell r="C400" t="str">
            <v>S</v>
          </cell>
        </row>
        <row r="401">
          <cell r="A401">
            <v>578000</v>
          </cell>
          <cell r="B401" t="str">
            <v>Árboles y plantas</v>
          </cell>
          <cell r="C401" t="str">
            <v>N</v>
          </cell>
        </row>
        <row r="402">
          <cell r="A402">
            <v>578001</v>
          </cell>
          <cell r="B402" t="str">
            <v>Árboles y plantas</v>
          </cell>
          <cell r="C402" t="str">
            <v>S</v>
          </cell>
        </row>
        <row r="403">
          <cell r="A403">
            <v>579000</v>
          </cell>
          <cell r="B403" t="str">
            <v>Otros activos biológicos</v>
          </cell>
          <cell r="C403" t="str">
            <v>N</v>
          </cell>
        </row>
        <row r="404">
          <cell r="A404">
            <v>579001</v>
          </cell>
          <cell r="B404" t="str">
            <v>Otros activos biológicos</v>
          </cell>
          <cell r="C404" t="str">
            <v>S</v>
          </cell>
        </row>
        <row r="405">
          <cell r="A405">
            <v>580000</v>
          </cell>
          <cell r="B405" t="str">
            <v>BIENES INMUEBLES</v>
          </cell>
          <cell r="C405" t="str">
            <v>N</v>
          </cell>
        </row>
        <row r="406">
          <cell r="A406">
            <v>581000</v>
          </cell>
          <cell r="B406" t="str">
            <v>Terrenos</v>
          </cell>
          <cell r="C406" t="str">
            <v>N</v>
          </cell>
        </row>
        <row r="407">
          <cell r="A407">
            <v>581001</v>
          </cell>
          <cell r="B407" t="str">
            <v>Terrenos</v>
          </cell>
          <cell r="C407" t="str">
            <v>S</v>
          </cell>
        </row>
        <row r="408">
          <cell r="A408">
            <v>582000</v>
          </cell>
          <cell r="B408" t="str">
            <v>Viviendas</v>
          </cell>
          <cell r="C408" t="str">
            <v>N</v>
          </cell>
        </row>
        <row r="409">
          <cell r="A409">
            <v>582001</v>
          </cell>
          <cell r="B409" t="str">
            <v>Viviendas</v>
          </cell>
          <cell r="C409" t="str">
            <v>S</v>
          </cell>
        </row>
        <row r="410">
          <cell r="A410">
            <v>583000</v>
          </cell>
          <cell r="B410" t="str">
            <v>Edificios no residenciales</v>
          </cell>
          <cell r="C410" t="str">
            <v>N</v>
          </cell>
        </row>
        <row r="411">
          <cell r="A411">
            <v>583001</v>
          </cell>
          <cell r="B411" t="str">
            <v>Edificios y locales</v>
          </cell>
          <cell r="C411" t="str">
            <v>S</v>
          </cell>
        </row>
        <row r="412">
          <cell r="A412">
            <v>589000</v>
          </cell>
          <cell r="B412" t="str">
            <v>Otros bienes inmuebles</v>
          </cell>
          <cell r="C412" t="str">
            <v>N</v>
          </cell>
        </row>
        <row r="413">
          <cell r="A413">
            <v>589001</v>
          </cell>
          <cell r="B413" t="str">
            <v>Adjudicaciones, expropiaciones e indemnizaciones de inmuebles</v>
          </cell>
          <cell r="C413" t="str">
            <v>S</v>
          </cell>
        </row>
        <row r="414">
          <cell r="A414">
            <v>590000</v>
          </cell>
          <cell r="B414" t="str">
            <v>ACTIVOS INTANGIBLES</v>
          </cell>
          <cell r="C414" t="str">
            <v>N</v>
          </cell>
        </row>
        <row r="415">
          <cell r="A415">
            <v>591000</v>
          </cell>
          <cell r="B415" t="str">
            <v>Software</v>
          </cell>
          <cell r="C415" t="str">
            <v>N</v>
          </cell>
        </row>
        <row r="416">
          <cell r="A416">
            <v>591001</v>
          </cell>
          <cell r="B416" t="str">
            <v>Software</v>
          </cell>
          <cell r="C416" t="str">
            <v>S</v>
          </cell>
        </row>
        <row r="417">
          <cell r="A417">
            <v>592000</v>
          </cell>
          <cell r="B417" t="str">
            <v>Patentes</v>
          </cell>
          <cell r="C417" t="str">
            <v>N</v>
          </cell>
        </row>
        <row r="418">
          <cell r="A418">
            <v>592001</v>
          </cell>
          <cell r="B418" t="str">
            <v>Patentes</v>
          </cell>
          <cell r="C418" t="str">
            <v>S</v>
          </cell>
        </row>
        <row r="419">
          <cell r="A419">
            <v>593000</v>
          </cell>
          <cell r="B419" t="str">
            <v>Marcas</v>
          </cell>
          <cell r="C419" t="str">
            <v>N</v>
          </cell>
        </row>
        <row r="420">
          <cell r="A420">
            <v>593001</v>
          </cell>
          <cell r="B420" t="str">
            <v>Marcas</v>
          </cell>
          <cell r="C420" t="str">
            <v>S</v>
          </cell>
        </row>
        <row r="421">
          <cell r="A421">
            <v>594000</v>
          </cell>
          <cell r="B421" t="str">
            <v>Derechos</v>
          </cell>
          <cell r="C421" t="str">
            <v>N</v>
          </cell>
        </row>
        <row r="422">
          <cell r="A422">
            <v>594001</v>
          </cell>
          <cell r="B422" t="str">
            <v>Derechos</v>
          </cell>
          <cell r="C422" t="str">
            <v>S</v>
          </cell>
        </row>
        <row r="423">
          <cell r="A423">
            <v>595000</v>
          </cell>
          <cell r="B423" t="str">
            <v>Concesiones</v>
          </cell>
          <cell r="C423" t="str">
            <v>N</v>
          </cell>
        </row>
        <row r="424">
          <cell r="A424">
            <v>595001</v>
          </cell>
          <cell r="B424" t="str">
            <v>Concesiones</v>
          </cell>
          <cell r="C424" t="str">
            <v>S</v>
          </cell>
        </row>
        <row r="425">
          <cell r="A425">
            <v>596000</v>
          </cell>
          <cell r="B425" t="str">
            <v>Franquicias</v>
          </cell>
          <cell r="C425" t="str">
            <v>N</v>
          </cell>
        </row>
        <row r="426">
          <cell r="A426">
            <v>596001</v>
          </cell>
          <cell r="B426" t="str">
            <v>Franquicias</v>
          </cell>
          <cell r="C426" t="str">
            <v>S</v>
          </cell>
        </row>
        <row r="427">
          <cell r="A427">
            <v>597000</v>
          </cell>
          <cell r="B427" t="str">
            <v>Licencias informáticas e intelectuales</v>
          </cell>
          <cell r="C427" t="str">
            <v>N</v>
          </cell>
        </row>
        <row r="428">
          <cell r="A428">
            <v>597001</v>
          </cell>
          <cell r="B428" t="str">
            <v>Licencias para programas de antivirus</v>
          </cell>
          <cell r="C428" t="str">
            <v>S</v>
          </cell>
        </row>
        <row r="429">
          <cell r="A429">
            <v>597002</v>
          </cell>
          <cell r="B429" t="str">
            <v>Licencias Microsoft Windows server 2003 edición estándar</v>
          </cell>
          <cell r="C429" t="str">
            <v>S</v>
          </cell>
        </row>
        <row r="430">
          <cell r="A430">
            <v>598000</v>
          </cell>
          <cell r="B430" t="str">
            <v>Licencias industriales, comerciales y otras</v>
          </cell>
          <cell r="C430" t="str">
            <v>N</v>
          </cell>
        </row>
        <row r="431">
          <cell r="A431">
            <v>598001</v>
          </cell>
          <cell r="B431" t="str">
            <v>Licencias industriales, comerciales y otras</v>
          </cell>
          <cell r="C431" t="str">
            <v>S</v>
          </cell>
        </row>
        <row r="432">
          <cell r="A432">
            <v>599000</v>
          </cell>
          <cell r="B432" t="str">
            <v>Otros activos intangibles</v>
          </cell>
          <cell r="C432" t="str">
            <v>N</v>
          </cell>
        </row>
        <row r="433">
          <cell r="A433">
            <v>599001</v>
          </cell>
          <cell r="B433" t="str">
            <v>Otros activos intangibles</v>
          </cell>
          <cell r="C433" t="str">
            <v>S</v>
          </cell>
        </row>
      </sheetData>
      <sheetData sheetId="4">
        <row r="1">
          <cell r="A1" t="str">
            <v>NOMENCLATURA</v>
          </cell>
          <cell r="B1" t="str">
            <v>DESCRPCION</v>
          </cell>
          <cell r="C1"/>
          <cell r="D1"/>
        </row>
        <row r="2">
          <cell r="A2">
            <v>100</v>
          </cell>
          <cell r="B2" t="str">
            <v>INGRESOS PROPIOS Y APROVECHAMIENTOS</v>
          </cell>
          <cell r="C2"/>
          <cell r="D2"/>
        </row>
        <row r="3">
          <cell r="A3">
            <v>101</v>
          </cell>
          <cell r="B3" t="str">
            <v>INGRESOS PROPIOS (IMPUESTOS, DERECHOS, PRODUCTOS Y APROVECHAMIENTOS)</v>
          </cell>
          <cell r="C3"/>
          <cell r="D3"/>
        </row>
        <row r="4">
          <cell r="A4">
            <v>102</v>
          </cell>
          <cell r="B4" t="str">
            <v>INGRESOS PROPIOS</v>
          </cell>
          <cell r="C4"/>
          <cell r="D4"/>
        </row>
        <row r="5">
          <cell r="A5">
            <v>103</v>
          </cell>
          <cell r="B5" t="str">
            <v>INGRESOS PROPIOS APORTACIONES MUNICIPALES</v>
          </cell>
          <cell r="C5"/>
          <cell r="D5"/>
        </row>
        <row r="6">
          <cell r="A6">
            <v>104</v>
          </cell>
          <cell r="B6" t="str">
            <v>APROVECHAMIENTO POR EL USO DE LA I NFRAESTRUCTURA ESTATAL</v>
          </cell>
          <cell r="C6"/>
          <cell r="D6"/>
        </row>
        <row r="7">
          <cell r="A7">
            <v>110</v>
          </cell>
          <cell r="B7" t="str">
            <v>RECURSO F.O.I.S.</v>
          </cell>
          <cell r="C7"/>
          <cell r="D7"/>
        </row>
        <row r="8">
          <cell r="A8">
            <v>111</v>
          </cell>
          <cell r="B8" t="str">
            <v>RECURSO A.P.I.</v>
          </cell>
          <cell r="C8"/>
          <cell r="D8"/>
        </row>
        <row r="9">
          <cell r="A9">
            <v>130</v>
          </cell>
          <cell r="B9" t="str">
            <v>Reintegro con Ingresos Propios Ramo 28</v>
          </cell>
          <cell r="C9"/>
          <cell r="D9"/>
        </row>
        <row r="10">
          <cell r="A10">
            <v>136</v>
          </cell>
          <cell r="B10" t="str">
            <v>Reintegro con Ingresos Propios FONE</v>
          </cell>
          <cell r="C10"/>
          <cell r="D10"/>
        </row>
        <row r="11">
          <cell r="A11">
            <v>137</v>
          </cell>
          <cell r="B11" t="str">
            <v>Reintegro con Ingresos Propios FASSA</v>
          </cell>
          <cell r="C11"/>
          <cell r="D11"/>
        </row>
        <row r="12">
          <cell r="A12">
            <v>138</v>
          </cell>
          <cell r="B12" t="str">
            <v>Reintegro con Ingresos Propios FAIS/FISE</v>
          </cell>
          <cell r="C12"/>
          <cell r="D12"/>
        </row>
        <row r="13">
          <cell r="A13">
            <v>139</v>
          </cell>
          <cell r="B13" t="str">
            <v>Reintegro con Ingresos Propios FAIS/FISM</v>
          </cell>
          <cell r="C13"/>
          <cell r="D13"/>
        </row>
        <row r="14">
          <cell r="A14">
            <v>140</v>
          </cell>
          <cell r="B14" t="str">
            <v>Reintegro con Ingresos Propios FORTAMUN</v>
          </cell>
          <cell r="C14"/>
          <cell r="D14"/>
        </row>
        <row r="15">
          <cell r="A15">
            <v>141</v>
          </cell>
          <cell r="B15" t="str">
            <v>Reintegro con Ingresos Propios FAM/Asistencia Social</v>
          </cell>
          <cell r="C15"/>
          <cell r="D15"/>
        </row>
        <row r="16">
          <cell r="A16">
            <v>142</v>
          </cell>
          <cell r="B16" t="str">
            <v>Reintegro con Ingresos Propios FAM/Infraest. Educación Básica</v>
          </cell>
          <cell r="C16"/>
          <cell r="D16"/>
        </row>
        <row r="17">
          <cell r="A17">
            <v>143</v>
          </cell>
          <cell r="B17" t="str">
            <v>Reintegro con Ingresos Propios FAM/ Infraest. Educación Media Superior y Superior</v>
          </cell>
          <cell r="C17"/>
          <cell r="D17"/>
        </row>
        <row r="18">
          <cell r="A18">
            <v>145</v>
          </cell>
          <cell r="B18" t="str">
            <v>Reintegro con Ingresos Propios FAETA/Educ. Tecnológica (CONALEP)</v>
          </cell>
          <cell r="C18"/>
          <cell r="D18"/>
        </row>
        <row r="19">
          <cell r="A19">
            <v>146</v>
          </cell>
          <cell r="B19" t="str">
            <v>Reintegro con Ingresos Propios FAETA Educ. Adultos (IEEA)</v>
          </cell>
          <cell r="C19"/>
          <cell r="D19"/>
        </row>
        <row r="20">
          <cell r="A20">
            <v>147</v>
          </cell>
          <cell r="B20" t="str">
            <v>Reintegro con Ingresos Propios FASP</v>
          </cell>
          <cell r="C20"/>
          <cell r="D20"/>
        </row>
        <row r="21">
          <cell r="A21">
            <v>148</v>
          </cell>
          <cell r="B21" t="str">
            <v>Reintegro con Ingresos Propios FAFEF</v>
          </cell>
          <cell r="C21"/>
          <cell r="D21"/>
        </row>
        <row r="22">
          <cell r="A22">
            <v>149</v>
          </cell>
          <cell r="B22" t="str">
            <v>Reintegro con Ingresos Propios SEDATU</v>
          </cell>
          <cell r="C22"/>
          <cell r="D22"/>
        </row>
        <row r="23">
          <cell r="A23">
            <v>161</v>
          </cell>
          <cell r="B23" t="str">
            <v>Reintegro con Ingresos Propios CULTURA Ramo 48</v>
          </cell>
          <cell r="C23"/>
          <cell r="D23"/>
        </row>
        <row r="24">
          <cell r="A24">
            <v>162</v>
          </cell>
          <cell r="B24" t="str">
            <v>Reintegro con Ingresos Propios UABCS</v>
          </cell>
          <cell r="C24"/>
          <cell r="D24"/>
        </row>
        <row r="25">
          <cell r="A25">
            <v>163</v>
          </cell>
          <cell r="B25" t="str">
            <v>Reintegro con Ingresos Propios CONAGUA</v>
          </cell>
          <cell r="C25"/>
          <cell r="D25"/>
        </row>
        <row r="26">
          <cell r="A26">
            <v>164</v>
          </cell>
          <cell r="B26" t="str">
            <v>Reintegro con Ingresos Propios SEGOB</v>
          </cell>
          <cell r="C26"/>
          <cell r="D26"/>
        </row>
        <row r="27">
          <cell r="A27">
            <v>165</v>
          </cell>
          <cell r="B27" t="str">
            <v>Reintegro con Ingresos Propios SECTUR</v>
          </cell>
          <cell r="C27"/>
          <cell r="D27"/>
        </row>
        <row r="28">
          <cell r="A28">
            <v>166</v>
          </cell>
          <cell r="B28" t="str">
            <v>Reintegro con Ingresos Propios PROFIS</v>
          </cell>
          <cell r="C28"/>
          <cell r="D28"/>
        </row>
        <row r="29">
          <cell r="A29">
            <v>167</v>
          </cell>
          <cell r="B29" t="str">
            <v>Reintegro con Ingresos Propios SSP</v>
          </cell>
          <cell r="C29"/>
          <cell r="D29"/>
        </row>
        <row r="30">
          <cell r="A30">
            <v>168</v>
          </cell>
          <cell r="B30" t="str">
            <v>Reintegro con Ingresos Propios COBACH</v>
          </cell>
          <cell r="C30"/>
          <cell r="D30"/>
        </row>
        <row r="31">
          <cell r="A31">
            <v>169</v>
          </cell>
          <cell r="B31" t="str">
            <v>Reintegro con Ingresos Propios Fondo Proporcional Peso a Peso</v>
          </cell>
          <cell r="C31"/>
          <cell r="D31"/>
        </row>
        <row r="32">
          <cell r="A32">
            <v>170</v>
          </cell>
          <cell r="B32" t="str">
            <v>Reintegro con Ingresos Propios CECYTE</v>
          </cell>
          <cell r="C32"/>
          <cell r="D32"/>
        </row>
        <row r="33">
          <cell r="A33">
            <v>171</v>
          </cell>
          <cell r="B33" t="str">
            <v>Reintegro con Ingresos Propios Imp. Ref. Penal (SETEC)</v>
          </cell>
          <cell r="C33"/>
          <cell r="D33"/>
        </row>
        <row r="34">
          <cell r="A34">
            <v>172</v>
          </cell>
          <cell r="B34" t="str">
            <v>Reintegro con Ingresos Propios CONADE</v>
          </cell>
          <cell r="C34"/>
          <cell r="D34"/>
        </row>
        <row r="35">
          <cell r="A35">
            <v>173</v>
          </cell>
          <cell r="B35" t="str">
            <v>Reintegro con Ingresos Propios Conv. Salud (Ramo 12)</v>
          </cell>
          <cell r="C35"/>
          <cell r="D35"/>
        </row>
        <row r="36">
          <cell r="A36">
            <v>174</v>
          </cell>
          <cell r="B36" t="str">
            <v>Reintegro con Ingresos Propios Secretaría de Economía</v>
          </cell>
          <cell r="C36"/>
          <cell r="D36"/>
        </row>
        <row r="37">
          <cell r="A37">
            <v>177</v>
          </cell>
          <cell r="B37" t="str">
            <v>Reintegro con Ingresos Propios SUBSEMUN</v>
          </cell>
          <cell r="C37"/>
          <cell r="D37"/>
        </row>
        <row r="38">
          <cell r="A38">
            <v>178</v>
          </cell>
          <cell r="B38" t="str">
            <v>Reintegro con Ingresos Propios Fondo Para La Infraest. de los Estados</v>
          </cell>
          <cell r="C38"/>
          <cell r="D38"/>
        </row>
        <row r="39">
          <cell r="A39">
            <v>179</v>
          </cell>
          <cell r="B39" t="str">
            <v>Reintegro con Ingresos Propios Apoyo Financiero Ext. UABCS</v>
          </cell>
          <cell r="C39"/>
          <cell r="D39"/>
        </row>
        <row r="40">
          <cell r="A40">
            <v>180</v>
          </cell>
          <cell r="B40" t="str">
            <v>Reintegro con Ingresos Propios Apoyo Financiero Ext. ISIFE</v>
          </cell>
          <cell r="C40"/>
          <cell r="D40"/>
        </row>
        <row r="41">
          <cell r="A41">
            <v>181</v>
          </cell>
          <cell r="B41" t="str">
            <v>Reintegro con Ingresos Propios Subs. Policía Estatal Acreditable (SPA)</v>
          </cell>
          <cell r="C41"/>
          <cell r="D41"/>
        </row>
        <row r="42">
          <cell r="A42">
            <v>182</v>
          </cell>
          <cell r="B42" t="str">
            <v>Reintegro con Ingresos Propios PROASP</v>
          </cell>
          <cell r="C42"/>
          <cell r="D42"/>
        </row>
        <row r="43">
          <cell r="A43">
            <v>183</v>
          </cell>
          <cell r="B43" t="str">
            <v>Reintegro con Ingresos Propios Ingresos Extraordinarios</v>
          </cell>
          <cell r="C43"/>
          <cell r="D43"/>
        </row>
        <row r="44">
          <cell r="A44">
            <v>184</v>
          </cell>
          <cell r="B44" t="str">
            <v>Reintegro con Ingresos Propios Ingresos Derivados del 5 Al Millar (Obra)</v>
          </cell>
          <cell r="C44"/>
          <cell r="D44"/>
        </row>
        <row r="45">
          <cell r="A45">
            <v>185</v>
          </cell>
          <cell r="B45" t="str">
            <v>Reintegro con Ingresos Propios Ingresos Extraordinarios Ramo 23</v>
          </cell>
          <cell r="C45"/>
          <cell r="D45"/>
        </row>
        <row r="46">
          <cell r="A46">
            <v>186</v>
          </cell>
          <cell r="B46" t="str">
            <v>Reintegro con Ingresos Propios Ingresos Extraordinarios Ramo 21</v>
          </cell>
          <cell r="C46"/>
          <cell r="D46"/>
        </row>
        <row r="47">
          <cell r="A47">
            <v>187</v>
          </cell>
          <cell r="B47" t="str">
            <v>Reintegro con Ingresos Propios Ingresos Extraordinarios Sep. Ramo 11</v>
          </cell>
          <cell r="C47"/>
          <cell r="D47"/>
        </row>
        <row r="48">
          <cell r="A48">
            <v>188</v>
          </cell>
          <cell r="B48" t="str">
            <v>Reintegro con Ingresos Propios Ingresos Ext. Ramo 09 (SCT)</v>
          </cell>
          <cell r="C48"/>
          <cell r="D48"/>
        </row>
        <row r="49">
          <cell r="A49">
            <v>189</v>
          </cell>
          <cell r="B49" t="str">
            <v>Reintegro con Ingresos Propios Ingresos Ext. Ramo 16 (SEMARNAT)</v>
          </cell>
          <cell r="C49"/>
          <cell r="D49"/>
        </row>
        <row r="50">
          <cell r="A50">
            <v>201</v>
          </cell>
          <cell r="B50" t="str">
            <v>BONO CUPÓN CERO</v>
          </cell>
          <cell r="C50"/>
          <cell r="D50"/>
        </row>
        <row r="51">
          <cell r="A51">
            <v>500</v>
          </cell>
          <cell r="B51" t="str">
            <v>RECURSOS FEDERALES</v>
          </cell>
          <cell r="C51"/>
          <cell r="D51"/>
        </row>
        <row r="52">
          <cell r="A52">
            <v>530</v>
          </cell>
          <cell r="B52" t="str">
            <v>PARTICIPACIONES Ramo 28</v>
          </cell>
          <cell r="C52"/>
          <cell r="D52"/>
        </row>
        <row r="53">
          <cell r="A53">
            <v>535</v>
          </cell>
          <cell r="B53" t="str">
            <v>INTERESES BANCARIOS PROYECTADOS, RECURSOS FEDERALES</v>
          </cell>
          <cell r="C53"/>
          <cell r="D53"/>
        </row>
        <row r="54">
          <cell r="A54">
            <v>536</v>
          </cell>
          <cell r="B54" t="str">
            <v>FONE Ramo 33</v>
          </cell>
          <cell r="C54"/>
          <cell r="D54"/>
        </row>
        <row r="55">
          <cell r="A55">
            <v>537</v>
          </cell>
          <cell r="B55" t="str">
            <v>FASSA Ramo 33</v>
          </cell>
          <cell r="C55"/>
          <cell r="D55"/>
        </row>
        <row r="56">
          <cell r="A56">
            <v>538</v>
          </cell>
          <cell r="B56" t="str">
            <v>FAIS/FISE Ramo 33</v>
          </cell>
          <cell r="C56"/>
          <cell r="D56"/>
        </row>
        <row r="57">
          <cell r="A57">
            <v>539</v>
          </cell>
          <cell r="B57" t="str">
            <v>FAIS/FISM Ramo 33</v>
          </cell>
          <cell r="C57"/>
          <cell r="D57"/>
        </row>
        <row r="58">
          <cell r="A58">
            <v>540</v>
          </cell>
          <cell r="B58" t="str">
            <v>FORTAMUN Ramo 33</v>
          </cell>
          <cell r="C58"/>
          <cell r="D58"/>
        </row>
        <row r="59">
          <cell r="A59">
            <v>541</v>
          </cell>
          <cell r="B59" t="str">
            <v>FAM/ASISTENCIA SOCIAL Ramo 33</v>
          </cell>
          <cell r="C59"/>
          <cell r="D59"/>
        </row>
        <row r="60">
          <cell r="A60">
            <v>542</v>
          </cell>
          <cell r="B60" t="str">
            <v>FAM/INFRAESTRUCTURA DE EDUCACIÓN BÁSICA Ramo 33</v>
          </cell>
          <cell r="C60"/>
          <cell r="D60"/>
        </row>
        <row r="61">
          <cell r="A61">
            <v>543</v>
          </cell>
          <cell r="B61" t="str">
            <v>FAM/EDUCACIÓN MEDIA SUPERIOR Y SUPERIOR Ramo 33</v>
          </cell>
          <cell r="C61"/>
          <cell r="D61"/>
        </row>
        <row r="62">
          <cell r="A62">
            <v>545</v>
          </cell>
          <cell r="B62" t="str">
            <v>FAETA/EDUCACIÓN TECNOLÓGICA ( CONALEP) Ramo 33</v>
          </cell>
          <cell r="C62"/>
          <cell r="D62"/>
        </row>
        <row r="63">
          <cell r="A63">
            <v>546</v>
          </cell>
          <cell r="B63" t="str">
            <v>FAETA/EDUCACIÓN ADULTOS (IEEA) Ramo 33</v>
          </cell>
          <cell r="C63"/>
          <cell r="D63"/>
        </row>
        <row r="64">
          <cell r="A64">
            <v>547</v>
          </cell>
          <cell r="B64" t="str">
            <v>FASP Ramo 33</v>
          </cell>
          <cell r="C64"/>
          <cell r="D64"/>
        </row>
        <row r="65">
          <cell r="A65">
            <v>548</v>
          </cell>
          <cell r="B65" t="str">
            <v>FAFEF Ramo 33</v>
          </cell>
          <cell r="C65"/>
          <cell r="D65"/>
        </row>
        <row r="66">
          <cell r="A66">
            <v>549</v>
          </cell>
          <cell r="B66" t="str">
            <v>SRIA. DE DES. AGRARIO TERRITORIAL Y URBANO (SEDATU) Ramo 15</v>
          </cell>
          <cell r="C66"/>
          <cell r="D66"/>
        </row>
        <row r="67">
          <cell r="A67">
            <v>561</v>
          </cell>
          <cell r="B67" t="str">
            <v>CULTURA FEDERAL Ramo 48</v>
          </cell>
          <cell r="C67"/>
          <cell r="D67"/>
        </row>
        <row r="68">
          <cell r="A68">
            <v>562</v>
          </cell>
          <cell r="B68" t="str">
            <v>UNIVERSIDAD AUTÓNOMA DE B.C.S. Ramo 11</v>
          </cell>
          <cell r="C68"/>
          <cell r="D68"/>
        </row>
        <row r="69">
          <cell r="A69">
            <v>563</v>
          </cell>
          <cell r="B69" t="str">
            <v>CONAGUA Ramo 16</v>
          </cell>
          <cell r="C69"/>
          <cell r="D69"/>
        </row>
        <row r="70">
          <cell r="A70">
            <v>564</v>
          </cell>
          <cell r="B70" t="str">
            <v>SECRETARÍA DE GOBERNACIÓN Ramo 04</v>
          </cell>
          <cell r="C70"/>
          <cell r="D70"/>
        </row>
        <row r="71">
          <cell r="A71">
            <v>565</v>
          </cell>
          <cell r="B71" t="str">
            <v>SECRETARÍA DE TURISMO Ramo 21</v>
          </cell>
          <cell r="C71"/>
          <cell r="D71"/>
        </row>
        <row r="72">
          <cell r="A72">
            <v>566</v>
          </cell>
          <cell r="B72" t="str">
            <v>PROFIS</v>
          </cell>
          <cell r="C72"/>
          <cell r="D72"/>
        </row>
        <row r="73">
          <cell r="A73">
            <v>567</v>
          </cell>
          <cell r="B73" t="str">
            <v>SECRETARÍA DE SEGURIDAD PÚBLICA</v>
          </cell>
          <cell r="C73"/>
          <cell r="D73"/>
        </row>
        <row r="74">
          <cell r="A74">
            <v>568</v>
          </cell>
          <cell r="B74" t="str">
            <v>COBACH Ramo 11</v>
          </cell>
          <cell r="C74"/>
          <cell r="D74"/>
        </row>
        <row r="75">
          <cell r="A75">
            <v>569</v>
          </cell>
          <cell r="B75" t="str">
            <v>FONDO PROPORCIONAL PESO A PESO</v>
          </cell>
          <cell r="C75"/>
          <cell r="D75"/>
        </row>
        <row r="76">
          <cell r="A76">
            <v>570</v>
          </cell>
          <cell r="B76" t="str">
            <v>CECYTE Ramo 11</v>
          </cell>
          <cell r="C76"/>
          <cell r="D76"/>
        </row>
        <row r="77">
          <cell r="A77">
            <v>571</v>
          </cell>
          <cell r="B77" t="str">
            <v>IMPLEMENTACIÓN DE LA REFORMA PENAL (SETEC)</v>
          </cell>
          <cell r="C77"/>
          <cell r="D77"/>
        </row>
        <row r="78">
          <cell r="A78">
            <v>572</v>
          </cell>
          <cell r="B78" t="str">
            <v>CONADE Ramo 11</v>
          </cell>
          <cell r="C78"/>
          <cell r="D78"/>
        </row>
        <row r="79">
          <cell r="A79">
            <v>573</v>
          </cell>
          <cell r="B79" t="str">
            <v>CONVENIOS Ramo 12</v>
          </cell>
          <cell r="C79"/>
          <cell r="D79"/>
        </row>
        <row r="80">
          <cell r="A80">
            <v>574</v>
          </cell>
          <cell r="B80" t="str">
            <v>SECRETARÍA DE ECONOMÍA Ramo 10</v>
          </cell>
          <cell r="C80"/>
          <cell r="D80"/>
        </row>
        <row r="81">
          <cell r="A81">
            <v>577</v>
          </cell>
          <cell r="B81" t="str">
            <v>SUBSIDIO SEGURIDAD PÚBLICA MUNICIPAL</v>
          </cell>
          <cell r="C81"/>
          <cell r="D81"/>
        </row>
        <row r="82">
          <cell r="A82">
            <v>578</v>
          </cell>
          <cell r="B82" t="str">
            <v>FIDEICOMISO PARA LA INFRAESTRUCTURA DE LOS ESTADOS Ramo 23</v>
          </cell>
          <cell r="C82"/>
          <cell r="D82"/>
        </row>
        <row r="83">
          <cell r="A83">
            <v>579</v>
          </cell>
          <cell r="B83" t="str">
            <v>APOYO FINANCIERO EXTRAORDINARIO UABCS Ramo 11</v>
          </cell>
          <cell r="C83"/>
          <cell r="D83"/>
        </row>
        <row r="84">
          <cell r="A84">
            <v>580</v>
          </cell>
          <cell r="B84" t="str">
            <v>APOYO FINANCIERO EXTRAORDINARIO ISIFE Ramo 11</v>
          </cell>
          <cell r="C84"/>
          <cell r="D84"/>
        </row>
        <row r="85">
          <cell r="A85">
            <v>581</v>
          </cell>
          <cell r="B85" t="str">
            <v>SUBSIDIO POLICÍA ESTATAL ACREDITABLE (SPA)</v>
          </cell>
          <cell r="C85"/>
          <cell r="D85"/>
        </row>
        <row r="86">
          <cell r="A86">
            <v>582</v>
          </cell>
          <cell r="B86" t="str">
            <v>PROASP PROG. DE ALCANCE NAL. EN MAT. DE SEG. PUB. Ramo 04</v>
          </cell>
          <cell r="C86"/>
          <cell r="D86"/>
        </row>
        <row r="87">
          <cell r="A87">
            <v>583</v>
          </cell>
          <cell r="B87" t="str">
            <v>INGRESOS EXTRAORDINARIOS</v>
          </cell>
          <cell r="C87"/>
          <cell r="D87"/>
        </row>
        <row r="88">
          <cell r="A88">
            <v>584</v>
          </cell>
          <cell r="B88" t="str">
            <v>INGRESOS DERIVADOS DEL 5 AL MILLAR (OBRA)</v>
          </cell>
          <cell r="C88"/>
          <cell r="D88"/>
        </row>
        <row r="89">
          <cell r="A89">
            <v>585</v>
          </cell>
          <cell r="B89" t="str">
            <v>INGRESOS EXT Ramo 23 ( Provisiones Salariales y Económicas )</v>
          </cell>
          <cell r="C89"/>
          <cell r="D89"/>
        </row>
        <row r="90">
          <cell r="A90">
            <v>586</v>
          </cell>
          <cell r="B90" t="str">
            <v>INGRESOS EXT Ramo 21 (TURISMO)</v>
          </cell>
          <cell r="C90"/>
          <cell r="D90"/>
        </row>
        <row r="91">
          <cell r="A91">
            <v>587</v>
          </cell>
          <cell r="B91" t="str">
            <v>INGRESOS EXT Ramo 11 (SEP)</v>
          </cell>
          <cell r="C91"/>
          <cell r="D91"/>
        </row>
        <row r="92">
          <cell r="A92">
            <v>588</v>
          </cell>
          <cell r="B92" t="str">
            <v>INGRESOS EXT Ramo 09 (SCT)</v>
          </cell>
          <cell r="C92"/>
          <cell r="D92"/>
        </row>
        <row r="93">
          <cell r="A93">
            <v>589</v>
          </cell>
          <cell r="B93" t="str">
            <v>INGRESOS EXT Ramo 16 (SEMARNAT)</v>
          </cell>
          <cell r="C93"/>
          <cell r="D93"/>
        </row>
        <row r="94">
          <cell r="A94">
            <v>590</v>
          </cell>
          <cell r="B94" t="str">
            <v>INGRESOS EXT FORTASEG Ramo 04 (GOBERNACIÓN)</v>
          </cell>
          <cell r="C94"/>
          <cell r="D94"/>
        </row>
        <row r="95">
          <cell r="A95">
            <v>591</v>
          </cell>
          <cell r="B95" t="str">
            <v>INGRESOS EXT Ramo 20 (BIENESTAR)</v>
          </cell>
          <cell r="C95"/>
          <cell r="D95"/>
        </row>
        <row r="96">
          <cell r="A96">
            <v>598</v>
          </cell>
          <cell r="B96" t="str">
            <v>REMANENTE FONE 2016</v>
          </cell>
          <cell r="C96"/>
          <cell r="D96"/>
        </row>
        <row r="97">
          <cell r="A97">
            <v>599</v>
          </cell>
          <cell r="B97" t="str">
            <v>REMANENTE FONE 2015</v>
          </cell>
          <cell r="C97"/>
          <cell r="D97"/>
        </row>
        <row r="98">
          <cell r="A98">
            <v>700</v>
          </cell>
          <cell r="B98" t="str">
            <v>OTROS RECURSOS</v>
          </cell>
          <cell r="C98"/>
          <cell r="D98"/>
        </row>
        <row r="99">
          <cell r="A99">
            <v>736</v>
          </cell>
          <cell r="B99" t="str">
            <v>RENDIMIENTOS FONE</v>
          </cell>
          <cell r="C99"/>
          <cell r="D99"/>
        </row>
        <row r="100">
          <cell r="A100">
            <v>737</v>
          </cell>
          <cell r="B100" t="str">
            <v>RENDIMIENTOS FAM</v>
          </cell>
          <cell r="C100"/>
          <cell r="D100"/>
        </row>
        <row r="101">
          <cell r="A101">
            <v>747</v>
          </cell>
          <cell r="B101" t="str">
            <v>RENDIMIENTOS FASP</v>
          </cell>
          <cell r="C101"/>
          <cell r="D101"/>
        </row>
        <row r="102">
          <cell r="A102">
            <v>783</v>
          </cell>
          <cell r="B102" t="str">
            <v>INGRESOS EXTRAORDINARIOS (OTROS)</v>
          </cell>
          <cell r="C102"/>
          <cell r="D102"/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AS"/>
      <sheetName val="Hoja1"/>
      <sheetName val="CAPITULO"/>
      <sheetName val="PARTIDA"/>
      <sheetName val="COG"/>
      <sheetName val="FF"/>
      <sheetName val="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CUENTA</v>
          </cell>
          <cell r="B1" t="str">
            <v>CONCEPTO</v>
          </cell>
          <cell r="C1" t="str">
            <v>AFECTABLE/ NO
AFECTABLE</v>
          </cell>
        </row>
        <row r="2">
          <cell r="A2">
            <v>210000</v>
          </cell>
          <cell r="B2" t="str">
            <v>MATERIALES DE ADMINISTRACIÓN, EMISIÓN DE DOCUMENTOS Y ARTÍCULO OFICIALES</v>
          </cell>
          <cell r="C2" t="str">
            <v>N</v>
          </cell>
        </row>
        <row r="3">
          <cell r="A3">
            <v>211000</v>
          </cell>
          <cell r="B3" t="str">
            <v>Materiales, útiles y equipos menores de oficina</v>
          </cell>
          <cell r="C3" t="str">
            <v>N</v>
          </cell>
        </row>
        <row r="4">
          <cell r="A4">
            <v>211001</v>
          </cell>
          <cell r="B4" t="str">
            <v>Material de oficina</v>
          </cell>
          <cell r="C4" t="str">
            <v>S</v>
          </cell>
        </row>
        <row r="5">
          <cell r="A5">
            <v>212000</v>
          </cell>
          <cell r="B5" t="str">
            <v>Materiales y útiles de impresión y reproducción</v>
          </cell>
          <cell r="C5" t="str">
            <v>N</v>
          </cell>
        </row>
        <row r="6">
          <cell r="A6">
            <v>212001</v>
          </cell>
          <cell r="B6" t="str">
            <v>Material y útiles de impresión</v>
          </cell>
          <cell r="C6" t="str">
            <v>S</v>
          </cell>
        </row>
        <row r="7">
          <cell r="A7">
            <v>213000</v>
          </cell>
          <cell r="B7" t="str">
            <v>Material estadístico y geográfico</v>
          </cell>
          <cell r="C7" t="str">
            <v>N</v>
          </cell>
        </row>
        <row r="8">
          <cell r="A8">
            <v>213001</v>
          </cell>
          <cell r="B8" t="str">
            <v>Material estadístico y geográfico</v>
          </cell>
          <cell r="C8" t="str">
            <v>S</v>
          </cell>
        </row>
        <row r="9">
          <cell r="A9">
            <v>214000</v>
          </cell>
          <cell r="B9" t="str">
            <v>Materiales, útiles y equipos menores de tecnologías de la información y comunicaciones</v>
          </cell>
          <cell r="C9" t="str">
            <v>N</v>
          </cell>
        </row>
        <row r="10">
          <cell r="A10">
            <v>214001</v>
          </cell>
          <cell r="B10" t="str">
            <v>Materiales, útiles y equipos menores de tecnologías de la información y comunicaciones</v>
          </cell>
          <cell r="C10" t="str">
            <v>S</v>
          </cell>
        </row>
        <row r="11">
          <cell r="A11">
            <v>215000</v>
          </cell>
          <cell r="B11" t="str">
            <v>Material impreso e información digital</v>
          </cell>
          <cell r="C11" t="str">
            <v>N</v>
          </cell>
        </row>
        <row r="12">
          <cell r="A12">
            <v>215001</v>
          </cell>
          <cell r="B12" t="str">
            <v>Material didáctico</v>
          </cell>
          <cell r="C12" t="str">
            <v>S</v>
          </cell>
        </row>
        <row r="13">
          <cell r="A13">
            <v>215002</v>
          </cell>
          <cell r="B13" t="str">
            <v>Suscripciones a Periódicos, Revistas y Publicaciones Especializadas</v>
          </cell>
          <cell r="C13" t="str">
            <v>S</v>
          </cell>
        </row>
        <row r="14">
          <cell r="A14">
            <v>215003</v>
          </cell>
          <cell r="B14" t="str">
            <v>Material impreso e información digital</v>
          </cell>
          <cell r="C14" t="str">
            <v>S</v>
          </cell>
        </row>
        <row r="15">
          <cell r="A15">
            <v>216000</v>
          </cell>
          <cell r="B15" t="str">
            <v>Material de limpieza</v>
          </cell>
          <cell r="C15" t="str">
            <v>N</v>
          </cell>
        </row>
        <row r="16">
          <cell r="A16">
            <v>216001</v>
          </cell>
          <cell r="B16" t="str">
            <v>Material de limpieza</v>
          </cell>
          <cell r="C16" t="str">
            <v>S</v>
          </cell>
        </row>
        <row r="17">
          <cell r="A17">
            <v>217000</v>
          </cell>
          <cell r="B17" t="str">
            <v>Materiales y útiles de enseñanza</v>
          </cell>
          <cell r="C17" t="str">
            <v>N</v>
          </cell>
        </row>
        <row r="18">
          <cell r="A18">
            <v>217001</v>
          </cell>
          <cell r="B18" t="str">
            <v>Materiales y útiles de enseñanza</v>
          </cell>
          <cell r="C18" t="str">
            <v>S</v>
          </cell>
        </row>
        <row r="19">
          <cell r="A19">
            <v>218000</v>
          </cell>
          <cell r="B19" t="str">
            <v>Materiales para el registro e identificación de bienes y personas</v>
          </cell>
          <cell r="C19" t="str">
            <v>N</v>
          </cell>
        </row>
        <row r="20">
          <cell r="A20">
            <v>218001</v>
          </cell>
          <cell r="B20" t="str">
            <v>Materiales para el registro e identificación de bienes y personas</v>
          </cell>
          <cell r="C20" t="str">
            <v>S</v>
          </cell>
        </row>
        <row r="21">
          <cell r="A21">
            <v>218002</v>
          </cell>
          <cell r="B21" t="str">
            <v>Placas, Engomados, Calcomanías y Hologramas</v>
          </cell>
          <cell r="C21" t="str">
            <v>S</v>
          </cell>
        </row>
        <row r="22">
          <cell r="A22">
            <v>218003</v>
          </cell>
          <cell r="B22" t="str">
            <v>Emisión de Licencias de Conducir</v>
          </cell>
          <cell r="C22" t="str">
            <v>S</v>
          </cell>
        </row>
        <row r="23">
          <cell r="A23">
            <v>218004</v>
          </cell>
          <cell r="B23" t="str">
            <v>Emisión de Formatos Únicos de Control Vehicular</v>
          </cell>
          <cell r="C23" t="str">
            <v>S</v>
          </cell>
        </row>
        <row r="24">
          <cell r="A24">
            <v>220000</v>
          </cell>
          <cell r="B24" t="str">
            <v>ALIMENTOS Y UTENSILIOS</v>
          </cell>
          <cell r="C24" t="str">
            <v>N</v>
          </cell>
        </row>
        <row r="25">
          <cell r="A25">
            <v>221000</v>
          </cell>
          <cell r="B25" t="str">
            <v>Productos alimenticios para personas</v>
          </cell>
          <cell r="C25" t="str">
            <v>N</v>
          </cell>
        </row>
        <row r="26">
          <cell r="A26">
            <v>221001</v>
          </cell>
          <cell r="B26" t="str">
            <v>Alimentación de personas</v>
          </cell>
          <cell r="C26" t="str">
            <v>S</v>
          </cell>
        </row>
        <row r="27">
          <cell r="A27">
            <v>222000</v>
          </cell>
          <cell r="B27" t="str">
            <v>Productos alimenticios para animales</v>
          </cell>
          <cell r="C27" t="str">
            <v>N</v>
          </cell>
        </row>
        <row r="28">
          <cell r="A28">
            <v>222001</v>
          </cell>
          <cell r="B28" t="str">
            <v>Alimentación de animales</v>
          </cell>
          <cell r="C28" t="str">
            <v>S</v>
          </cell>
        </row>
        <row r="29">
          <cell r="A29">
            <v>223000</v>
          </cell>
          <cell r="B29" t="str">
            <v>Utensilios para el servicio de alimentación</v>
          </cell>
          <cell r="C29" t="str">
            <v>N</v>
          </cell>
        </row>
        <row r="30">
          <cell r="A30">
            <v>223001</v>
          </cell>
          <cell r="B30" t="str">
            <v>Utensilios para el servicio de alimentación</v>
          </cell>
          <cell r="C30" t="str">
            <v>S</v>
          </cell>
        </row>
        <row r="31">
          <cell r="A31">
            <v>230000</v>
          </cell>
          <cell r="B31" t="str">
            <v>MATERIAS PRIMAS Y MATERIALES DE PRODUCCIÓN Y COMERCIALIZACIÓN</v>
          </cell>
          <cell r="C31" t="str">
            <v>N</v>
          </cell>
        </row>
        <row r="32">
          <cell r="A32">
            <v>231000</v>
          </cell>
          <cell r="B32" t="str">
            <v>Productos alimenticios, agropecuarios y forestales adquiridos como materia prima</v>
          </cell>
          <cell r="C32" t="str">
            <v>N</v>
          </cell>
        </row>
        <row r="33">
          <cell r="A33">
            <v>231001</v>
          </cell>
          <cell r="B33" t="str">
            <v>Materias primas para producción</v>
          </cell>
          <cell r="C33" t="str">
            <v>S</v>
          </cell>
        </row>
        <row r="34">
          <cell r="A34">
            <v>232000</v>
          </cell>
          <cell r="B34" t="str">
            <v>Insumos textiles adquiridos como materia prima</v>
          </cell>
          <cell r="C34" t="str">
            <v>N</v>
          </cell>
        </row>
        <row r="35">
          <cell r="A35">
            <v>232001</v>
          </cell>
          <cell r="B35" t="str">
            <v>Insumos textiles adquiridos como materia prima</v>
          </cell>
          <cell r="C35" t="str">
            <v>S</v>
          </cell>
        </row>
        <row r="36">
          <cell r="A36">
            <v>233000</v>
          </cell>
          <cell r="B36" t="str">
            <v>Productos de papel, cartón e impresos adquiridos como materia prima</v>
          </cell>
          <cell r="C36" t="str">
            <v>N</v>
          </cell>
        </row>
        <row r="37">
          <cell r="A37">
            <v>233001</v>
          </cell>
          <cell r="B37" t="str">
            <v>Productos de papel, cartón e impresos adquiridos como materia prima</v>
          </cell>
          <cell r="C37" t="str">
            <v>S</v>
          </cell>
        </row>
        <row r="38">
          <cell r="A38">
            <v>234000</v>
          </cell>
          <cell r="B38" t="str">
            <v>Combustibles, lubricantes, aditivos, carbón y sus derivados adquiridos como materia prima</v>
          </cell>
          <cell r="C38" t="str">
            <v>N</v>
          </cell>
        </row>
        <row r="39">
          <cell r="A39">
            <v>234001</v>
          </cell>
          <cell r="B39" t="str">
            <v>Combustibles, lubricantes, aditivos, carbón y sus derivados adquiridos como materia prima</v>
          </cell>
          <cell r="C39" t="str">
            <v>S</v>
          </cell>
        </row>
        <row r="40">
          <cell r="A40">
            <v>235000</v>
          </cell>
          <cell r="B40" t="str">
            <v>Productos químicos, farmacéuticos y de laboratorio adquiridos como materia prima</v>
          </cell>
          <cell r="C40" t="str">
            <v>N</v>
          </cell>
        </row>
        <row r="41">
          <cell r="A41">
            <v>235001</v>
          </cell>
          <cell r="B41" t="str">
            <v>Productos químicos, farmacéuticos y de laboratorio adquiridos como materia prima</v>
          </cell>
          <cell r="C41" t="str">
            <v>S</v>
          </cell>
        </row>
        <row r="42">
          <cell r="A42">
            <v>236000</v>
          </cell>
          <cell r="B42" t="str">
            <v>Productos metálicos y a base de minerales no metálicos adquiridos como materia prima</v>
          </cell>
          <cell r="C42" t="str">
            <v>N</v>
          </cell>
        </row>
        <row r="43">
          <cell r="A43">
            <v>236001</v>
          </cell>
          <cell r="B43" t="str">
            <v>Productos metálicos y a base de minerales no metálicos adquiridos como materia prima</v>
          </cell>
          <cell r="C43" t="str">
            <v>S</v>
          </cell>
        </row>
        <row r="44">
          <cell r="A44">
            <v>237000</v>
          </cell>
          <cell r="B44" t="str">
            <v>Productos de cuero, piel, plástico y hule adquiridos como materia prima</v>
          </cell>
          <cell r="C44" t="str">
            <v>N</v>
          </cell>
        </row>
        <row r="45">
          <cell r="A45">
            <v>237001</v>
          </cell>
          <cell r="B45" t="str">
            <v>Productos de cuero, piel, plástico y hule adquiridos como materia prima</v>
          </cell>
          <cell r="C45" t="str">
            <v>S</v>
          </cell>
        </row>
        <row r="46">
          <cell r="A46">
            <v>238000</v>
          </cell>
          <cell r="B46" t="str">
            <v>Mercancías adquiridas para su comercialización</v>
          </cell>
          <cell r="C46" t="str">
            <v>N</v>
          </cell>
        </row>
        <row r="47">
          <cell r="A47">
            <v>238001</v>
          </cell>
          <cell r="B47" t="str">
            <v>Mercancías adquiridas para su comercialización</v>
          </cell>
          <cell r="C47" t="str">
            <v>S</v>
          </cell>
        </row>
        <row r="48">
          <cell r="A48">
            <v>240000</v>
          </cell>
          <cell r="B48" t="str">
            <v>MATERIALES Y ARTÍCULOS DE CONSTRUCCIÓN Y DE REPARACIÓN</v>
          </cell>
          <cell r="C48" t="str">
            <v>N</v>
          </cell>
        </row>
        <row r="49">
          <cell r="A49">
            <v>241000</v>
          </cell>
          <cell r="B49" t="str">
            <v>Productos minerales no metálicos</v>
          </cell>
          <cell r="C49" t="str">
            <v>N</v>
          </cell>
        </row>
        <row r="50">
          <cell r="A50">
            <v>241001</v>
          </cell>
          <cell r="B50" t="str">
            <v>Productos minerales no metálicos</v>
          </cell>
          <cell r="C50" t="str">
            <v>S</v>
          </cell>
        </row>
        <row r="51">
          <cell r="A51">
            <v>242000</v>
          </cell>
          <cell r="B51" t="str">
            <v>Cemento y productos de concreto</v>
          </cell>
          <cell r="C51" t="str">
            <v>N</v>
          </cell>
        </row>
        <row r="52">
          <cell r="A52">
            <v>242001</v>
          </cell>
          <cell r="B52" t="str">
            <v>Cemento y productos de concreto</v>
          </cell>
          <cell r="C52" t="str">
            <v>S</v>
          </cell>
        </row>
        <row r="53">
          <cell r="A53">
            <v>243000</v>
          </cell>
          <cell r="B53" t="str">
            <v>Cal, yeso y productos de yeso</v>
          </cell>
          <cell r="C53" t="str">
            <v>N</v>
          </cell>
        </row>
        <row r="54">
          <cell r="A54">
            <v>243001</v>
          </cell>
          <cell r="B54" t="str">
            <v>Cal, yeso y productos de yeso</v>
          </cell>
          <cell r="C54" t="str">
            <v>S</v>
          </cell>
        </row>
        <row r="55">
          <cell r="A55">
            <v>244000</v>
          </cell>
          <cell r="B55" t="str">
            <v>Madera y productos de madera</v>
          </cell>
          <cell r="C55" t="str">
            <v>N</v>
          </cell>
        </row>
        <row r="56">
          <cell r="A56">
            <v>244001</v>
          </cell>
          <cell r="B56" t="str">
            <v>Madera y productos de madera</v>
          </cell>
          <cell r="C56" t="str">
            <v>S</v>
          </cell>
        </row>
        <row r="57">
          <cell r="A57">
            <v>245000</v>
          </cell>
          <cell r="B57" t="str">
            <v>Vidrio y productos de vidrio</v>
          </cell>
          <cell r="C57" t="str">
            <v>N</v>
          </cell>
        </row>
        <row r="58">
          <cell r="A58">
            <v>245001</v>
          </cell>
          <cell r="B58" t="str">
            <v>Vidrio y productos de vidrio</v>
          </cell>
          <cell r="C58" t="str">
            <v>S</v>
          </cell>
        </row>
        <row r="59">
          <cell r="A59">
            <v>246000</v>
          </cell>
          <cell r="B59" t="str">
            <v>Material eléctrico y electrónico</v>
          </cell>
          <cell r="C59" t="str">
            <v>N</v>
          </cell>
        </row>
        <row r="60">
          <cell r="A60">
            <v>246001</v>
          </cell>
          <cell r="B60" t="str">
            <v>Material eléctrico</v>
          </cell>
          <cell r="C60" t="str">
            <v>S</v>
          </cell>
        </row>
        <row r="61">
          <cell r="A61">
            <v>246002</v>
          </cell>
          <cell r="B61" t="str">
            <v>Material electrónico</v>
          </cell>
          <cell r="C61" t="str">
            <v>S</v>
          </cell>
        </row>
        <row r="62">
          <cell r="A62">
            <v>247000</v>
          </cell>
          <cell r="B62" t="str">
            <v>Artículos metálicos para la construcción</v>
          </cell>
          <cell r="C62" t="str">
            <v>N</v>
          </cell>
        </row>
        <row r="63">
          <cell r="A63">
            <v>247001</v>
          </cell>
          <cell r="B63" t="str">
            <v>Artículos metálicos para la construcción</v>
          </cell>
          <cell r="C63" t="str">
            <v>S</v>
          </cell>
        </row>
        <row r="64">
          <cell r="A64">
            <v>248000</v>
          </cell>
          <cell r="B64" t="str">
            <v>Materiales complementarios</v>
          </cell>
          <cell r="C64" t="str">
            <v>N</v>
          </cell>
        </row>
        <row r="65">
          <cell r="A65">
            <v>248001</v>
          </cell>
          <cell r="B65" t="str">
            <v>Materiales complementarios</v>
          </cell>
          <cell r="C65" t="str">
            <v>S</v>
          </cell>
        </row>
        <row r="66">
          <cell r="A66">
            <v>249000</v>
          </cell>
          <cell r="B66" t="str">
            <v>Otros materiales y artículos de construcción y reparación</v>
          </cell>
          <cell r="C66" t="str">
            <v>N</v>
          </cell>
        </row>
        <row r="67">
          <cell r="A67">
            <v>249001</v>
          </cell>
          <cell r="B67" t="str">
            <v>Materiales de construcción y complementarios</v>
          </cell>
          <cell r="C67" t="str">
            <v>S</v>
          </cell>
        </row>
        <row r="68">
          <cell r="A68">
            <v>249002</v>
          </cell>
          <cell r="B68" t="str">
            <v>Otros materiales de construcción y reparación</v>
          </cell>
          <cell r="C68" t="str">
            <v>S</v>
          </cell>
        </row>
        <row r="69">
          <cell r="A69">
            <v>250000</v>
          </cell>
          <cell r="B69" t="str">
            <v>PRODUCTOS QUÍMICOS, FARMACÉUTICOS Y DE LABORATORIO</v>
          </cell>
          <cell r="C69" t="str">
            <v>N</v>
          </cell>
        </row>
        <row r="70">
          <cell r="A70">
            <v>251000</v>
          </cell>
          <cell r="B70" t="str">
            <v>Productos químicos básicos</v>
          </cell>
          <cell r="C70" t="str">
            <v>N</v>
          </cell>
        </row>
        <row r="71">
          <cell r="A71">
            <v>251001</v>
          </cell>
          <cell r="B71" t="str">
            <v>Gas Refrigerante</v>
          </cell>
          <cell r="C71" t="str">
            <v>S</v>
          </cell>
        </row>
        <row r="72">
          <cell r="A72">
            <v>252000</v>
          </cell>
          <cell r="B72" t="str">
            <v>Fertilizantes, pesticidas y otros agroquímicos</v>
          </cell>
          <cell r="C72" t="str">
            <v>N</v>
          </cell>
        </row>
        <row r="73">
          <cell r="A73">
            <v>252001</v>
          </cell>
          <cell r="B73" t="str">
            <v>Fertilizantes, pesticidas y otros agroquímicos</v>
          </cell>
          <cell r="C73" t="str">
            <v>S</v>
          </cell>
        </row>
        <row r="74">
          <cell r="A74">
            <v>253000</v>
          </cell>
          <cell r="B74" t="str">
            <v>Medicinas y productos químicos, farmacéuticos</v>
          </cell>
          <cell r="C74" t="str">
            <v>N</v>
          </cell>
        </row>
        <row r="75">
          <cell r="A75">
            <v>253001</v>
          </cell>
          <cell r="B75" t="str">
            <v>Material y productos químicos, farmacéuticos</v>
          </cell>
          <cell r="C75" t="str">
            <v>S</v>
          </cell>
        </row>
        <row r="76">
          <cell r="A76">
            <v>254000</v>
          </cell>
          <cell r="B76" t="str">
            <v>Materiales, accesorios y suministros médicos</v>
          </cell>
          <cell r="C76" t="str">
            <v>N</v>
          </cell>
        </row>
        <row r="77">
          <cell r="A77">
            <v>254001</v>
          </cell>
          <cell r="B77" t="str">
            <v>Materiales, accesorios y suministros médicos</v>
          </cell>
          <cell r="C77" t="str">
            <v>S</v>
          </cell>
        </row>
        <row r="78">
          <cell r="A78">
            <v>255000</v>
          </cell>
          <cell r="B78" t="str">
            <v>Materiales, accesorios y suministros de laboratorio</v>
          </cell>
          <cell r="C78" t="str">
            <v>N</v>
          </cell>
        </row>
        <row r="79">
          <cell r="A79">
            <v>255001</v>
          </cell>
          <cell r="B79" t="str">
            <v>Materiales, accesorios y suministros de laboratorio</v>
          </cell>
          <cell r="C79" t="str">
            <v>S</v>
          </cell>
        </row>
        <row r="80">
          <cell r="A80">
            <v>256000</v>
          </cell>
          <cell r="B80" t="str">
            <v>Fibras sintéticas, hules, plásticos y derivados</v>
          </cell>
          <cell r="C80" t="str">
            <v>N</v>
          </cell>
        </row>
        <row r="81">
          <cell r="A81">
            <v>256001</v>
          </cell>
          <cell r="B81" t="str">
            <v>Fibras sintéticas, hules, plásticos y derivados</v>
          </cell>
          <cell r="C81" t="str">
            <v>S</v>
          </cell>
        </row>
        <row r="82">
          <cell r="A82">
            <v>259000</v>
          </cell>
          <cell r="B82" t="str">
            <v>Otros productos químicos</v>
          </cell>
          <cell r="C82" t="str">
            <v>N</v>
          </cell>
        </row>
        <row r="83">
          <cell r="A83">
            <v>259001</v>
          </cell>
          <cell r="B83" t="str">
            <v>Otros productos químicos</v>
          </cell>
          <cell r="C83" t="str">
            <v>S</v>
          </cell>
        </row>
        <row r="84">
          <cell r="A84">
            <v>260000</v>
          </cell>
          <cell r="B84" t="str">
            <v>COMBUSTIBLES, LUBRICANTES Y ADITIVOS</v>
          </cell>
          <cell r="C84" t="str">
            <v>N</v>
          </cell>
        </row>
        <row r="85">
          <cell r="A85">
            <v>261000</v>
          </cell>
          <cell r="B85" t="str">
            <v>Combustibles, lubricantes y aditivos</v>
          </cell>
          <cell r="C85" t="str">
            <v>N</v>
          </cell>
        </row>
        <row r="86">
          <cell r="A86">
            <v>261001</v>
          </cell>
          <cell r="B86" t="str">
            <v>Combustibles</v>
          </cell>
          <cell r="C86" t="str">
            <v>S</v>
          </cell>
        </row>
        <row r="87">
          <cell r="A87">
            <v>261002</v>
          </cell>
          <cell r="B87" t="str">
            <v>Lubricantes y aditivos</v>
          </cell>
          <cell r="C87" t="str">
            <v>S</v>
          </cell>
        </row>
        <row r="88">
          <cell r="A88">
            <v>262000</v>
          </cell>
          <cell r="B88" t="str">
            <v>Carbón y sus derivados</v>
          </cell>
          <cell r="C88" t="str">
            <v>N</v>
          </cell>
        </row>
        <row r="89">
          <cell r="A89">
            <v>262001</v>
          </cell>
          <cell r="B89" t="str">
            <v>Carbón y sus derivados</v>
          </cell>
          <cell r="C89" t="str">
            <v>S</v>
          </cell>
        </row>
        <row r="90">
          <cell r="A90">
            <v>270000</v>
          </cell>
          <cell r="B90" t="str">
            <v>VESTUARIO, BLANCOS, PRENDAS DE PROTECCIÓN Y ARTÍCULOS DEPORTIVOS</v>
          </cell>
          <cell r="C90" t="str">
            <v>N</v>
          </cell>
        </row>
        <row r="91">
          <cell r="A91">
            <v>271000</v>
          </cell>
          <cell r="B91" t="str">
            <v>Vestuario y uniformes</v>
          </cell>
          <cell r="C91" t="str">
            <v>N</v>
          </cell>
        </row>
        <row r="92">
          <cell r="A92">
            <v>271001</v>
          </cell>
          <cell r="B92" t="str">
            <v>Ropa, vestuario y equipo</v>
          </cell>
          <cell r="C92" t="str">
            <v>S</v>
          </cell>
        </row>
        <row r="93">
          <cell r="A93">
            <v>272000</v>
          </cell>
          <cell r="B93" t="str">
            <v>Prendas de seguridad y protección personal</v>
          </cell>
          <cell r="C93" t="str">
            <v>N</v>
          </cell>
        </row>
        <row r="94">
          <cell r="A94">
            <v>272001</v>
          </cell>
          <cell r="B94" t="str">
            <v>Materiales explosivos y de seguridad pública</v>
          </cell>
          <cell r="C94" t="str">
            <v>S</v>
          </cell>
        </row>
        <row r="95">
          <cell r="A95">
            <v>272002</v>
          </cell>
          <cell r="B95" t="str">
            <v>Prendas de seguridad y protección personal</v>
          </cell>
          <cell r="C95" t="str">
            <v>S</v>
          </cell>
        </row>
        <row r="96">
          <cell r="A96">
            <v>273000</v>
          </cell>
          <cell r="B96" t="str">
            <v>Artículos deportivos</v>
          </cell>
          <cell r="C96" t="str">
            <v>N</v>
          </cell>
        </row>
        <row r="97">
          <cell r="A97">
            <v>273001</v>
          </cell>
          <cell r="B97" t="str">
            <v>Artículos deportivos</v>
          </cell>
          <cell r="C97" t="str">
            <v>S</v>
          </cell>
        </row>
        <row r="98">
          <cell r="A98">
            <v>274000</v>
          </cell>
          <cell r="B98" t="str">
            <v>Productos textiles</v>
          </cell>
          <cell r="C98" t="str">
            <v>N</v>
          </cell>
        </row>
        <row r="99">
          <cell r="A99">
            <v>274001</v>
          </cell>
          <cell r="B99" t="str">
            <v>Productos textiles</v>
          </cell>
          <cell r="C99" t="str">
            <v>S</v>
          </cell>
        </row>
        <row r="100">
          <cell r="A100">
            <v>275000</v>
          </cell>
          <cell r="B100" t="str">
            <v>Blancos y otros productos textiles, excepto prendas de vestir</v>
          </cell>
          <cell r="C100" t="str">
            <v>N</v>
          </cell>
        </row>
        <row r="101">
          <cell r="A101">
            <v>275001</v>
          </cell>
          <cell r="B101" t="str">
            <v>Blancos y otros productos textiles, excepto prendas de vestir</v>
          </cell>
          <cell r="C101" t="str">
            <v>S</v>
          </cell>
        </row>
        <row r="102">
          <cell r="A102">
            <v>280000</v>
          </cell>
          <cell r="B102" t="str">
            <v>MATERIALES Y SUMINISTROS PARA SEGURIDAD</v>
          </cell>
          <cell r="C102" t="str">
            <v>N</v>
          </cell>
        </row>
        <row r="103">
          <cell r="A103">
            <v>281000</v>
          </cell>
          <cell r="B103" t="str">
            <v>Sustancias y materiales explosivos</v>
          </cell>
          <cell r="C103" t="str">
            <v>N</v>
          </cell>
        </row>
        <row r="104">
          <cell r="A104">
            <v>281001</v>
          </cell>
          <cell r="B104" t="str">
            <v>Sustancias y materiales explosivos</v>
          </cell>
          <cell r="C104" t="str">
            <v>S</v>
          </cell>
        </row>
        <row r="105">
          <cell r="A105">
            <v>282000</v>
          </cell>
          <cell r="B105" t="str">
            <v>Materiales de seguridad pública</v>
          </cell>
          <cell r="C105" t="str">
            <v>N</v>
          </cell>
        </row>
        <row r="106">
          <cell r="A106">
            <v>282001</v>
          </cell>
          <cell r="B106" t="str">
            <v>Materiales de seguridad pública</v>
          </cell>
          <cell r="C106" t="str">
            <v>S</v>
          </cell>
        </row>
        <row r="107">
          <cell r="A107">
            <v>283000</v>
          </cell>
          <cell r="B107" t="str">
            <v>Prendas de protección para seguridad pública y nacional</v>
          </cell>
          <cell r="C107" t="str">
            <v>N</v>
          </cell>
        </row>
        <row r="108">
          <cell r="A108">
            <v>283001</v>
          </cell>
          <cell r="B108" t="str">
            <v>Prendas de protección para seguridad pública</v>
          </cell>
          <cell r="C108" t="str">
            <v>S</v>
          </cell>
        </row>
        <row r="109">
          <cell r="A109">
            <v>290000</v>
          </cell>
          <cell r="B109" t="str">
            <v>HERRAMIENTAS, REFACCIONES Y ACCESORIOS MENORES</v>
          </cell>
          <cell r="C109" t="str">
            <v>N</v>
          </cell>
        </row>
        <row r="110">
          <cell r="A110">
            <v>291000</v>
          </cell>
          <cell r="B110" t="str">
            <v>Herramientas menores</v>
          </cell>
          <cell r="C110" t="str">
            <v>N</v>
          </cell>
        </row>
        <row r="111">
          <cell r="A111">
            <v>291001</v>
          </cell>
          <cell r="B111" t="str">
            <v>Herramientas Auxiliares de Trabajo</v>
          </cell>
          <cell r="C111" t="str">
            <v>S</v>
          </cell>
        </row>
        <row r="112">
          <cell r="A112">
            <v>292000</v>
          </cell>
          <cell r="B112" t="str">
            <v>Refacciones y accesorios menores de edificios</v>
          </cell>
          <cell r="C112" t="str">
            <v>N</v>
          </cell>
        </row>
        <row r="113">
          <cell r="A113">
            <v>292001</v>
          </cell>
          <cell r="B113" t="str">
            <v>Refacciones y accesorios menores de edificios (candados, cerraduras, chapas, llaves)</v>
          </cell>
          <cell r="C113" t="str">
            <v>S</v>
          </cell>
        </row>
        <row r="114">
          <cell r="A114">
            <v>293000</v>
          </cell>
          <cell r="B114" t="str">
            <v>Refacciones y accesorios menores de mobiliario y equipo de administración, educacional y recreativo</v>
          </cell>
          <cell r="C114" t="str">
            <v>N</v>
          </cell>
        </row>
        <row r="115">
          <cell r="A115">
            <v>293001</v>
          </cell>
          <cell r="B115" t="str">
            <v>Refacciones y accesorios menores de mobiliario y equipo de administración, educacional y recreativo</v>
          </cell>
          <cell r="C115" t="str">
            <v>S</v>
          </cell>
        </row>
        <row r="116">
          <cell r="A116">
            <v>294000</v>
          </cell>
          <cell r="B116" t="str">
            <v>Refacciones y accesorios menores de equipo de cómputo y tecnologías de la información</v>
          </cell>
          <cell r="C116" t="str">
            <v>N</v>
          </cell>
        </row>
        <row r="117">
          <cell r="A117">
            <v>294001</v>
          </cell>
          <cell r="B117" t="str">
            <v>Dispositivos Internos y Externos de Equipo de Computo</v>
          </cell>
          <cell r="C117" t="str">
            <v>S</v>
          </cell>
        </row>
        <row r="118">
          <cell r="A118">
            <v>294002</v>
          </cell>
          <cell r="B118" t="str">
            <v>Refacciones y Accesorios Menores de Equipo de Computo</v>
          </cell>
          <cell r="C118" t="str">
            <v>S</v>
          </cell>
        </row>
        <row r="119">
          <cell r="A119">
            <v>295000</v>
          </cell>
          <cell r="B119" t="str">
            <v>Refacciones y accesorios menores de equipo e instrumental médico y de laboratorio</v>
          </cell>
          <cell r="C119" t="str">
            <v>N</v>
          </cell>
        </row>
        <row r="120">
          <cell r="A120">
            <v>295001</v>
          </cell>
          <cell r="B120" t="str">
            <v>Refacciones y accesorios menores de equipo e instrumental médico y de laboratorio</v>
          </cell>
          <cell r="C120" t="str">
            <v>S</v>
          </cell>
        </row>
        <row r="121">
          <cell r="A121">
            <v>296000</v>
          </cell>
          <cell r="B121" t="str">
            <v>Refacciones y accesorios menores de equipo de transporte</v>
          </cell>
          <cell r="C121" t="str">
            <v>N</v>
          </cell>
        </row>
        <row r="122">
          <cell r="A122">
            <v>296001</v>
          </cell>
          <cell r="B122" t="str">
            <v>Herramientas, refacciones y accesorios</v>
          </cell>
          <cell r="C122" t="str">
            <v>S</v>
          </cell>
        </row>
        <row r="123">
          <cell r="A123">
            <v>297000</v>
          </cell>
          <cell r="B123" t="str">
            <v>Refacciones y accesorios menores de equipo de defensa y seguridad</v>
          </cell>
          <cell r="C123" t="str">
            <v>N</v>
          </cell>
        </row>
        <row r="124">
          <cell r="A124">
            <v>297001</v>
          </cell>
          <cell r="B124" t="str">
            <v>Refacciones y accesorios menores de equipo de defensa y seguridad</v>
          </cell>
          <cell r="C124" t="str">
            <v>S</v>
          </cell>
        </row>
        <row r="125">
          <cell r="A125">
            <v>298000</v>
          </cell>
          <cell r="B125" t="str">
            <v>Refacciones y accesorios menores de maquinaria y otros equipos</v>
          </cell>
          <cell r="C125" t="str">
            <v>N</v>
          </cell>
        </row>
        <row r="126">
          <cell r="A126">
            <v>298001</v>
          </cell>
          <cell r="B126" t="str">
            <v>Refacciones y accesorios menores de maquinaria y otros equipos</v>
          </cell>
          <cell r="C126" t="str">
            <v>S</v>
          </cell>
        </row>
        <row r="127">
          <cell r="A127">
            <v>299000</v>
          </cell>
          <cell r="B127" t="str">
            <v>Refacciones y accesorios menores otros bienes muebles</v>
          </cell>
          <cell r="C127" t="str">
            <v>N</v>
          </cell>
        </row>
        <row r="128">
          <cell r="A128">
            <v>299001</v>
          </cell>
          <cell r="B128" t="str">
            <v>Refacciones y accesorios menores otros bienes muebles</v>
          </cell>
          <cell r="C128" t="str">
            <v>S</v>
          </cell>
        </row>
        <row r="129">
          <cell r="A129">
            <v>300000</v>
          </cell>
          <cell r="B129" t="str">
            <v>SERVICIOS GENERALES</v>
          </cell>
          <cell r="C129" t="str">
            <v>N</v>
          </cell>
        </row>
        <row r="130">
          <cell r="A130">
            <v>310000</v>
          </cell>
          <cell r="B130" t="str">
            <v>SERVICIOS BÁSICOS</v>
          </cell>
          <cell r="C130" t="str">
            <v>N</v>
          </cell>
        </row>
        <row r="131">
          <cell r="A131">
            <v>311000</v>
          </cell>
          <cell r="B131" t="str">
            <v>Energía eléctrica</v>
          </cell>
          <cell r="C131" t="str">
            <v>N</v>
          </cell>
        </row>
        <row r="132">
          <cell r="A132">
            <v>311001</v>
          </cell>
          <cell r="B132" t="str">
            <v>Servicio de energía eléctrica</v>
          </cell>
          <cell r="C132" t="str">
            <v>S</v>
          </cell>
        </row>
        <row r="133">
          <cell r="A133">
            <v>311002</v>
          </cell>
          <cell r="B133" t="str">
            <v>Contratación del servicio de energía eléctrica</v>
          </cell>
          <cell r="C133" t="str">
            <v>S</v>
          </cell>
        </row>
        <row r="134">
          <cell r="A134">
            <v>312000</v>
          </cell>
          <cell r="B134" t="str">
            <v>Gas</v>
          </cell>
          <cell r="C134" t="str">
            <v>N</v>
          </cell>
        </row>
        <row r="135">
          <cell r="A135">
            <v>312001</v>
          </cell>
          <cell r="B135" t="str">
            <v>Servicio de Gas L.P.</v>
          </cell>
          <cell r="C135" t="str">
            <v>S</v>
          </cell>
        </row>
        <row r="136">
          <cell r="A136">
            <v>313000</v>
          </cell>
          <cell r="B136" t="str">
            <v>Agua</v>
          </cell>
          <cell r="C136" t="str">
            <v>N</v>
          </cell>
        </row>
        <row r="137">
          <cell r="A137">
            <v>313001</v>
          </cell>
          <cell r="B137" t="str">
            <v>Servicio de agua potable</v>
          </cell>
          <cell r="C137" t="str">
            <v>S</v>
          </cell>
        </row>
        <row r="138">
          <cell r="A138">
            <v>313002</v>
          </cell>
          <cell r="B138" t="str">
            <v>Contratación del servicio de agua potable</v>
          </cell>
          <cell r="C138" t="str">
            <v>S</v>
          </cell>
        </row>
        <row r="139">
          <cell r="A139">
            <v>314000</v>
          </cell>
          <cell r="B139" t="str">
            <v>Telefonía tradicional</v>
          </cell>
          <cell r="C139" t="str">
            <v>N</v>
          </cell>
        </row>
        <row r="140">
          <cell r="A140">
            <v>314001</v>
          </cell>
          <cell r="B140" t="str">
            <v>Servicio telefónico</v>
          </cell>
          <cell r="C140" t="str">
            <v>S</v>
          </cell>
        </row>
        <row r="141">
          <cell r="A141">
            <v>315000</v>
          </cell>
          <cell r="B141" t="str">
            <v>Telefonía celular</v>
          </cell>
          <cell r="C141" t="str">
            <v>N</v>
          </cell>
        </row>
        <row r="142">
          <cell r="A142">
            <v>315001</v>
          </cell>
          <cell r="B142" t="str">
            <v>Telefonía celular</v>
          </cell>
          <cell r="C142" t="str">
            <v>S</v>
          </cell>
        </row>
        <row r="143">
          <cell r="A143">
            <v>316000</v>
          </cell>
          <cell r="B143" t="str">
            <v>Servicios de telecomunicaciones y satélites</v>
          </cell>
          <cell r="C143" t="str">
            <v>N</v>
          </cell>
        </row>
        <row r="144">
          <cell r="A144">
            <v>316001</v>
          </cell>
          <cell r="B144" t="str">
            <v>Servicios de telecomunicaciones y satélites</v>
          </cell>
          <cell r="C144" t="str">
            <v>S</v>
          </cell>
        </row>
        <row r="145">
          <cell r="A145">
            <v>317000</v>
          </cell>
          <cell r="B145" t="str">
            <v>Servicios de acceso de Internet, redes y procesamiento de información</v>
          </cell>
          <cell r="C145" t="str">
            <v>N</v>
          </cell>
        </row>
        <row r="146">
          <cell r="A146">
            <v>317001</v>
          </cell>
          <cell r="B146" t="str">
            <v>Servicios de acceso de Internet, redes y procesamiento de información</v>
          </cell>
          <cell r="C146" t="str">
            <v>S</v>
          </cell>
        </row>
        <row r="147">
          <cell r="A147">
            <v>318000</v>
          </cell>
          <cell r="B147" t="str">
            <v>Servicios postales y telegráficos</v>
          </cell>
          <cell r="C147" t="str">
            <v>N</v>
          </cell>
        </row>
        <row r="148">
          <cell r="A148">
            <v>318001</v>
          </cell>
          <cell r="B148" t="str">
            <v>Servicio postal y telegráfico</v>
          </cell>
          <cell r="C148" t="str">
            <v>S</v>
          </cell>
        </row>
        <row r="149">
          <cell r="A149">
            <v>319000</v>
          </cell>
          <cell r="B149" t="str">
            <v>Servicios integrales y otros servicios</v>
          </cell>
          <cell r="C149" t="str">
            <v>N</v>
          </cell>
        </row>
        <row r="150">
          <cell r="A150">
            <v>319001</v>
          </cell>
          <cell r="B150" t="str">
            <v>Servicios Integrales</v>
          </cell>
          <cell r="C150" t="str">
            <v>S</v>
          </cell>
        </row>
        <row r="151">
          <cell r="A151">
            <v>320000</v>
          </cell>
          <cell r="B151" t="str">
            <v>SERVICIOS DE ARRENDAMIENTO</v>
          </cell>
          <cell r="C151" t="str">
            <v>N</v>
          </cell>
        </row>
        <row r="152">
          <cell r="A152">
            <v>321000</v>
          </cell>
          <cell r="B152" t="str">
            <v>Arrendamiento de terrenos</v>
          </cell>
          <cell r="C152" t="str">
            <v>N</v>
          </cell>
        </row>
        <row r="153">
          <cell r="A153">
            <v>321001</v>
          </cell>
          <cell r="B153" t="str">
            <v>Arrendamiento de terrenos</v>
          </cell>
          <cell r="C153" t="str">
            <v>S</v>
          </cell>
        </row>
        <row r="154">
          <cell r="A154">
            <v>322000</v>
          </cell>
          <cell r="B154" t="str">
            <v>Arrendamiento de edificios</v>
          </cell>
          <cell r="C154" t="str">
            <v>N</v>
          </cell>
        </row>
        <row r="155">
          <cell r="A155">
            <v>322001</v>
          </cell>
          <cell r="B155" t="str">
            <v>Arrendamiento de edificios</v>
          </cell>
          <cell r="C155" t="str">
            <v>S</v>
          </cell>
        </row>
        <row r="156">
          <cell r="A156">
            <v>323000</v>
          </cell>
          <cell r="B156" t="str">
            <v>Arrendamiento de mobiliario y equipo de administración, educacional y recreativo</v>
          </cell>
          <cell r="C156" t="str">
            <v>N</v>
          </cell>
        </row>
        <row r="157">
          <cell r="A157">
            <v>323001</v>
          </cell>
          <cell r="B157" t="str">
            <v>Arrendamiento de maquinaria y equipo</v>
          </cell>
          <cell r="C157" t="str">
            <v>S</v>
          </cell>
        </row>
        <row r="158">
          <cell r="A158">
            <v>323002</v>
          </cell>
          <cell r="B158" t="str">
            <v>Arrendamiento de maquinaria y equipo de Administración</v>
          </cell>
          <cell r="C158" t="str">
            <v>S</v>
          </cell>
        </row>
        <row r="159">
          <cell r="A159">
            <v>323003</v>
          </cell>
          <cell r="B159" t="str">
            <v>Arrendamiento de Equipo Educacional y Recreativo</v>
          </cell>
          <cell r="C159" t="str">
            <v>S</v>
          </cell>
        </row>
        <row r="160">
          <cell r="A160">
            <v>323004</v>
          </cell>
          <cell r="B160" t="str">
            <v>Arrendamiento de Mobiliario y Equipo</v>
          </cell>
          <cell r="C160" t="str">
            <v>S</v>
          </cell>
        </row>
        <row r="161">
          <cell r="A161">
            <v>324000</v>
          </cell>
          <cell r="B161" t="str">
            <v>Arrendamiento de equipo e instrumental médico y de laboratorio</v>
          </cell>
          <cell r="C161" t="str">
            <v>N</v>
          </cell>
        </row>
        <row r="162">
          <cell r="A162">
            <v>324001</v>
          </cell>
          <cell r="B162" t="str">
            <v>Arrendamiento de equipo e instrumental médico y de laboratorio</v>
          </cell>
          <cell r="C162" t="str">
            <v>S</v>
          </cell>
        </row>
        <row r="163">
          <cell r="A163">
            <v>325000</v>
          </cell>
          <cell r="B163" t="str">
            <v>Arrendamiento de equipo de transporte</v>
          </cell>
          <cell r="C163" t="str">
            <v>N</v>
          </cell>
        </row>
        <row r="164">
          <cell r="A164">
            <v>325001</v>
          </cell>
          <cell r="B164" t="str">
            <v>Arrendamiento de equipo de transporte</v>
          </cell>
          <cell r="C164" t="str">
            <v>S</v>
          </cell>
        </row>
        <row r="165">
          <cell r="A165">
            <v>326000</v>
          </cell>
          <cell r="B165" t="str">
            <v>Arrendamiento de maquinaria, otros equipos y herramientas</v>
          </cell>
          <cell r="C165" t="str">
            <v>N</v>
          </cell>
        </row>
        <row r="166">
          <cell r="A166">
            <v>326001</v>
          </cell>
          <cell r="B166" t="str">
            <v>Arrendamiento de maquinaria, otros equipos y herramientas</v>
          </cell>
          <cell r="C166" t="str">
            <v>S</v>
          </cell>
        </row>
        <row r="167">
          <cell r="A167">
            <v>327000</v>
          </cell>
          <cell r="B167" t="str">
            <v>Arrendamiento de activos intangibles</v>
          </cell>
          <cell r="C167" t="str">
            <v>N</v>
          </cell>
        </row>
        <row r="168">
          <cell r="A168">
            <v>327001</v>
          </cell>
          <cell r="B168" t="str">
            <v>Arrendamiento de activos intangibles</v>
          </cell>
          <cell r="C168" t="str">
            <v>S</v>
          </cell>
        </row>
        <row r="169">
          <cell r="A169">
            <v>328000</v>
          </cell>
          <cell r="B169" t="str">
            <v>Arrendamiento financiero</v>
          </cell>
          <cell r="C169" t="str">
            <v>N</v>
          </cell>
        </row>
        <row r="170">
          <cell r="A170">
            <v>328001</v>
          </cell>
          <cell r="B170" t="str">
            <v>Arrendamiento financiero</v>
          </cell>
          <cell r="C170" t="str">
            <v>S</v>
          </cell>
        </row>
        <row r="171">
          <cell r="A171">
            <v>328002</v>
          </cell>
          <cell r="B171" t="str">
            <v>Programa Estatal de Arrendamiento Vehicular</v>
          </cell>
          <cell r="C171" t="str">
            <v>S</v>
          </cell>
        </row>
        <row r="172">
          <cell r="A172">
            <v>329000</v>
          </cell>
          <cell r="B172" t="str">
            <v>Otros arrendamientos</v>
          </cell>
          <cell r="C172" t="str">
            <v>N</v>
          </cell>
        </row>
        <row r="173">
          <cell r="A173">
            <v>329001</v>
          </cell>
          <cell r="B173" t="str">
            <v>Arrendamientos especiales</v>
          </cell>
          <cell r="C173" t="str">
            <v>S</v>
          </cell>
        </row>
        <row r="174">
          <cell r="A174">
            <v>330000</v>
          </cell>
          <cell r="B174" t="str">
            <v>SERVICIOS PROFESIONALES, CIENTÍFICOS, TÉCNICOS Y OTROS SERVICIOS</v>
          </cell>
          <cell r="C174" t="str">
            <v>N</v>
          </cell>
        </row>
        <row r="175">
          <cell r="A175">
            <v>331000</v>
          </cell>
          <cell r="B175" t="str">
            <v>Servicios legales, de contabilidad, auditoría y relacionados</v>
          </cell>
          <cell r="C175" t="str">
            <v>N</v>
          </cell>
        </row>
        <row r="176">
          <cell r="A176">
            <v>331001</v>
          </cell>
          <cell r="B176" t="str">
            <v>Asesorías</v>
          </cell>
          <cell r="C176" t="str">
            <v>S</v>
          </cell>
        </row>
        <row r="177">
          <cell r="A177">
            <v>331002</v>
          </cell>
          <cell r="B177" t="str">
            <v>Servicios Notariales</v>
          </cell>
          <cell r="C177" t="str">
            <v>S</v>
          </cell>
        </row>
        <row r="178">
          <cell r="A178">
            <v>331003</v>
          </cell>
          <cell r="B178" t="str">
            <v>Consultoría y Gestión</v>
          </cell>
          <cell r="C178" t="str">
            <v>S</v>
          </cell>
        </row>
        <row r="179">
          <cell r="A179">
            <v>332000</v>
          </cell>
          <cell r="B179" t="str">
            <v>Servicios de diseño, arquitectura, ingeniería y actividades relacionadas</v>
          </cell>
          <cell r="C179" t="str">
            <v>N</v>
          </cell>
        </row>
        <row r="180">
          <cell r="A180">
            <v>332001</v>
          </cell>
          <cell r="B180" t="str">
            <v>Servicios de diseño, arquitectura, ingeniería y actividades relacionadas</v>
          </cell>
          <cell r="C180" t="str">
            <v>S</v>
          </cell>
        </row>
        <row r="181">
          <cell r="A181">
            <v>333000</v>
          </cell>
          <cell r="B181" t="str">
            <v>Servicios de consultoría administrativa, procesos, técnica y en tecnologías de la información</v>
          </cell>
          <cell r="C181" t="str">
            <v>N</v>
          </cell>
        </row>
        <row r="182">
          <cell r="A182">
            <v>333001</v>
          </cell>
          <cell r="B182" t="str">
            <v>Estudios e investigaciones</v>
          </cell>
          <cell r="C182" t="str">
            <v>S</v>
          </cell>
        </row>
        <row r="183">
          <cell r="A183">
            <v>333002</v>
          </cell>
          <cell r="B183" t="str">
            <v>Sistematización de la Armonización Contable y Presupuestal</v>
          </cell>
          <cell r="C183" t="str">
            <v>S</v>
          </cell>
        </row>
        <row r="184">
          <cell r="A184">
            <v>333003</v>
          </cell>
          <cell r="B184" t="str">
            <v>Servicios de consultoría administrativa, procesos, técnica y en tecnologías de la información</v>
          </cell>
          <cell r="C184" t="str">
            <v>S</v>
          </cell>
        </row>
        <row r="185">
          <cell r="A185">
            <v>334000</v>
          </cell>
          <cell r="B185" t="str">
            <v>Servicios de capacitación</v>
          </cell>
          <cell r="C185" t="str">
            <v>N</v>
          </cell>
        </row>
        <row r="186">
          <cell r="A186">
            <v>334001</v>
          </cell>
          <cell r="B186" t="str">
            <v>Cuotas e inscripciones</v>
          </cell>
          <cell r="C186" t="str">
            <v>S</v>
          </cell>
        </row>
        <row r="187">
          <cell r="A187">
            <v>334002</v>
          </cell>
          <cell r="B187" t="str">
            <v>Servicios de Capacitación</v>
          </cell>
          <cell r="C187" t="str">
            <v>S</v>
          </cell>
        </row>
        <row r="188">
          <cell r="A188">
            <v>335000</v>
          </cell>
          <cell r="B188" t="str">
            <v>Servicios de investigación científica y desarrollo</v>
          </cell>
          <cell r="C188" t="str">
            <v>N</v>
          </cell>
        </row>
        <row r="189">
          <cell r="A189">
            <v>335001</v>
          </cell>
          <cell r="B189" t="str">
            <v>Servicios de investigación científica y desarrollo</v>
          </cell>
          <cell r="C189" t="str">
            <v>S</v>
          </cell>
        </row>
        <row r="190">
          <cell r="A190">
            <v>336000</v>
          </cell>
          <cell r="B190" t="str">
            <v>Servicios de apoyo administrativo, traducción, fotocopiado e impresión</v>
          </cell>
          <cell r="C190" t="str">
            <v>N</v>
          </cell>
        </row>
        <row r="191">
          <cell r="A191">
            <v>336001</v>
          </cell>
          <cell r="B191" t="str">
            <v>Servicio de Fotocopiado, Enmicado y Encuadernación de Documentos.</v>
          </cell>
          <cell r="C191" t="str">
            <v>S</v>
          </cell>
        </row>
        <row r="192">
          <cell r="A192">
            <v>336002</v>
          </cell>
          <cell r="B192" t="str">
            <v>Servicio de Impresión y Elaboración de Material Informativo</v>
          </cell>
          <cell r="C192" t="str">
            <v>S</v>
          </cell>
        </row>
        <row r="193">
          <cell r="A193">
            <v>337000</v>
          </cell>
          <cell r="B193" t="str">
            <v>Servicios de protección y seguridad</v>
          </cell>
          <cell r="C193" t="str">
            <v>N</v>
          </cell>
        </row>
        <row r="194">
          <cell r="A194">
            <v>337001</v>
          </cell>
          <cell r="B194" t="str">
            <v>Dispositivo de seguridad pública</v>
          </cell>
          <cell r="C194" t="str">
            <v>S</v>
          </cell>
        </row>
        <row r="195">
          <cell r="A195">
            <v>338000</v>
          </cell>
          <cell r="B195" t="str">
            <v>Servicios de vigilancia</v>
          </cell>
          <cell r="C195" t="str">
            <v>N</v>
          </cell>
        </row>
        <row r="196">
          <cell r="A196">
            <v>338001</v>
          </cell>
          <cell r="B196" t="str">
            <v>Servicio de seguridad privada</v>
          </cell>
          <cell r="C196" t="str">
            <v>S</v>
          </cell>
        </row>
        <row r="197">
          <cell r="A197">
            <v>339000</v>
          </cell>
          <cell r="B197" t="str">
            <v>Servicios profesionales, científicos y técnicos integrales</v>
          </cell>
          <cell r="C197" t="str">
            <v>N</v>
          </cell>
        </row>
        <row r="198">
          <cell r="A198">
            <v>339001</v>
          </cell>
          <cell r="B198" t="str">
            <v>Servicios profesionales, científicos y técnicos integrales</v>
          </cell>
          <cell r="C198" t="str">
            <v>S</v>
          </cell>
        </row>
        <row r="199">
          <cell r="A199">
            <v>340000</v>
          </cell>
          <cell r="B199" t="str">
            <v>SERVICIOS FINANCIEROS, BANCARIOS Y COMERCIALES</v>
          </cell>
          <cell r="C199" t="str">
            <v>N</v>
          </cell>
        </row>
        <row r="200">
          <cell r="A200">
            <v>341000</v>
          </cell>
          <cell r="B200" t="str">
            <v>Servicios financieros y bancarios</v>
          </cell>
          <cell r="C200" t="str">
            <v>N</v>
          </cell>
        </row>
        <row r="201">
          <cell r="A201">
            <v>341001</v>
          </cell>
          <cell r="B201" t="str">
            <v>Comisiones, descuentos y otros servicios bancarios</v>
          </cell>
          <cell r="C201" t="str">
            <v>S</v>
          </cell>
        </row>
        <row r="202">
          <cell r="A202">
            <v>342000</v>
          </cell>
          <cell r="B202" t="str">
            <v>Servicios de cobranza, investigación crediticia y similar</v>
          </cell>
          <cell r="C202" t="str">
            <v>N</v>
          </cell>
        </row>
        <row r="203">
          <cell r="A203">
            <v>342001</v>
          </cell>
          <cell r="B203" t="str">
            <v>Servicios de cobranza, investigación crediticia y similar</v>
          </cell>
          <cell r="C203" t="str">
            <v>S</v>
          </cell>
        </row>
        <row r="204">
          <cell r="A204">
            <v>343000</v>
          </cell>
          <cell r="B204" t="str">
            <v>Servicios de recaudación, traslado y custodia de valores</v>
          </cell>
          <cell r="C204" t="str">
            <v>N</v>
          </cell>
        </row>
        <row r="205">
          <cell r="A205">
            <v>343001</v>
          </cell>
          <cell r="B205" t="str">
            <v>Servicios de recaudación, traslado y custodia de valores</v>
          </cell>
          <cell r="C205" t="str">
            <v>S</v>
          </cell>
        </row>
        <row r="206">
          <cell r="A206">
            <v>344000</v>
          </cell>
          <cell r="B206" t="str">
            <v>Seguros de responsabilidad patrimonial y fianzas</v>
          </cell>
          <cell r="C206" t="str">
            <v>N</v>
          </cell>
        </row>
        <row r="207">
          <cell r="A207">
            <v>344001</v>
          </cell>
          <cell r="B207" t="str">
            <v>Seguros de responsabilidad patrimonial y fianzas</v>
          </cell>
          <cell r="C207" t="str">
            <v>S</v>
          </cell>
        </row>
        <row r="208">
          <cell r="A208">
            <v>345000</v>
          </cell>
          <cell r="B208" t="str">
            <v>Seguro de bienes patrimoniales</v>
          </cell>
          <cell r="C208" t="str">
            <v>N</v>
          </cell>
        </row>
        <row r="209">
          <cell r="A209">
            <v>345001</v>
          </cell>
          <cell r="B209" t="str">
            <v>Seguros</v>
          </cell>
          <cell r="C209" t="str">
            <v>S</v>
          </cell>
        </row>
        <row r="210">
          <cell r="A210">
            <v>346000</v>
          </cell>
          <cell r="B210" t="str">
            <v>Almacenaje, envase y embalaje</v>
          </cell>
          <cell r="C210" t="str">
            <v>N</v>
          </cell>
        </row>
        <row r="211">
          <cell r="A211">
            <v>346001</v>
          </cell>
          <cell r="B211" t="str">
            <v>Almacenaje, envase y embalaje</v>
          </cell>
          <cell r="C211" t="str">
            <v>S</v>
          </cell>
        </row>
        <row r="212">
          <cell r="A212">
            <v>347000</v>
          </cell>
          <cell r="B212" t="str">
            <v>Fletes y maniobras</v>
          </cell>
          <cell r="C212" t="str">
            <v>N</v>
          </cell>
        </row>
        <row r="213">
          <cell r="A213">
            <v>347001</v>
          </cell>
          <cell r="B213" t="str">
            <v>Fletes, maniobras y almacenaje</v>
          </cell>
          <cell r="C213" t="str">
            <v>S</v>
          </cell>
        </row>
        <row r="214">
          <cell r="A214">
            <v>348000</v>
          </cell>
          <cell r="B214" t="str">
            <v>Comisiones por ventas</v>
          </cell>
          <cell r="C214" t="str">
            <v>N</v>
          </cell>
        </row>
        <row r="215">
          <cell r="A215">
            <v>348001</v>
          </cell>
          <cell r="B215" t="str">
            <v>Comisiones por ventas</v>
          </cell>
          <cell r="C215" t="str">
            <v>S</v>
          </cell>
        </row>
        <row r="216">
          <cell r="A216">
            <v>349000</v>
          </cell>
          <cell r="B216" t="str">
            <v>Servicios financieros, bancarios y comerciales integrales</v>
          </cell>
          <cell r="C216" t="str">
            <v>N</v>
          </cell>
        </row>
        <row r="217">
          <cell r="A217">
            <v>349001</v>
          </cell>
          <cell r="B217" t="str">
            <v>Servicios financieros, bancarios y comerciales integrales</v>
          </cell>
          <cell r="C217" t="str">
            <v>S</v>
          </cell>
        </row>
        <row r="218">
          <cell r="A218">
            <v>350000</v>
          </cell>
          <cell r="B218" t="str">
            <v>SERVICIOS DE INSTALACIÓN, REPARACIÓN, MANTENIMIENTO Y CONSERVACIÓN</v>
          </cell>
          <cell r="C218" t="str">
            <v>N</v>
          </cell>
        </row>
        <row r="219">
          <cell r="A219">
            <v>351000</v>
          </cell>
          <cell r="B219" t="str">
            <v>Conservación y mantenimiento menor de inmuebles</v>
          </cell>
          <cell r="C219" t="str">
            <v>N</v>
          </cell>
        </row>
        <row r="220">
          <cell r="A220">
            <v>351001</v>
          </cell>
          <cell r="B220" t="str">
            <v>Mantenimiento de inmuebles</v>
          </cell>
          <cell r="C220" t="str">
            <v>S</v>
          </cell>
        </row>
        <row r="221">
          <cell r="A221">
            <v>351002</v>
          </cell>
          <cell r="B221" t="str">
            <v>Fumigación de Inmuebles</v>
          </cell>
          <cell r="C221" t="str">
            <v>S</v>
          </cell>
        </row>
        <row r="222">
          <cell r="A222">
            <v>351003</v>
          </cell>
          <cell r="B222" t="str">
            <v>Mantto. y Conserv. de Inmuebles Sub Proc. Zona Norte</v>
          </cell>
          <cell r="C222" t="str">
            <v>S</v>
          </cell>
        </row>
        <row r="223">
          <cell r="A223">
            <v>352000</v>
          </cell>
          <cell r="B223" t="str">
            <v>Instalación, reparación y mantenimiento de mobiliario y equipo de administración, educacional y recreativo</v>
          </cell>
          <cell r="C223" t="str">
            <v>N</v>
          </cell>
        </row>
        <row r="224">
          <cell r="A224">
            <v>352001</v>
          </cell>
          <cell r="B224" t="str">
            <v>Mantenimiento de mobiliario y equipo</v>
          </cell>
          <cell r="C224" t="str">
            <v>S</v>
          </cell>
        </row>
        <row r="225">
          <cell r="A225">
            <v>352002</v>
          </cell>
          <cell r="B225" t="str">
            <v>Gastos de instalación</v>
          </cell>
          <cell r="C225" t="str">
            <v>S</v>
          </cell>
        </row>
        <row r="226">
          <cell r="A226">
            <v>352003</v>
          </cell>
          <cell r="B226" t="str">
            <v>Mantto. y Conservación Archivo General de Notarias del Gob. del Edo.</v>
          </cell>
          <cell r="C226" t="str">
            <v>S</v>
          </cell>
        </row>
        <row r="227">
          <cell r="A227">
            <v>353000</v>
          </cell>
          <cell r="B227" t="str">
            <v>Instalación, reparación y mantenimiento de equipo de cómputo y tecnología de la información</v>
          </cell>
          <cell r="C227" t="str">
            <v>N</v>
          </cell>
        </row>
        <row r="228">
          <cell r="A228">
            <v>353001</v>
          </cell>
          <cell r="B228" t="str">
            <v>Instalación, reparación y mantenimiento de equipo de cómputo y tecnología  de la información</v>
          </cell>
          <cell r="C228" t="str">
            <v>S</v>
          </cell>
        </row>
        <row r="229">
          <cell r="A229">
            <v>354000</v>
          </cell>
          <cell r="B229" t="str">
            <v>Instalación, reparación y mantenimiento de equipo e instrumental médico y de laboratorio</v>
          </cell>
          <cell r="C229" t="str">
            <v>N</v>
          </cell>
        </row>
        <row r="230">
          <cell r="A230">
            <v>354001</v>
          </cell>
          <cell r="B230" t="str">
            <v>Instalación, reparación y mantenimiento de equipo e instrumental médico y de laboratorio</v>
          </cell>
          <cell r="C230" t="str">
            <v>S</v>
          </cell>
        </row>
        <row r="231">
          <cell r="A231">
            <v>355000</v>
          </cell>
          <cell r="B231" t="str">
            <v>Reparación y mantenimiento de equipo de transporte</v>
          </cell>
          <cell r="C231" t="str">
            <v>N</v>
          </cell>
        </row>
        <row r="232">
          <cell r="A232">
            <v>355001</v>
          </cell>
          <cell r="B232" t="str">
            <v>Mantto. y conservación de vehículos terrestres, aéreos, marítimos, lacustres y fluviales</v>
          </cell>
          <cell r="C232" t="str">
            <v>S</v>
          </cell>
        </row>
        <row r="233">
          <cell r="A233">
            <v>356000</v>
          </cell>
          <cell r="B233" t="str">
            <v>Reparación y mantenimiento de equipo de defensa y seguridad</v>
          </cell>
          <cell r="C233" t="str">
            <v>N</v>
          </cell>
        </row>
        <row r="234">
          <cell r="A234">
            <v>356001</v>
          </cell>
          <cell r="B234" t="str">
            <v>Reparación y mantenimiento de equipo de defensa y seguridad</v>
          </cell>
          <cell r="C234" t="str">
            <v>S</v>
          </cell>
        </row>
        <row r="235">
          <cell r="A235">
            <v>357000</v>
          </cell>
          <cell r="B235" t="str">
            <v>Instalación, reparación y mantenimiento de maquinaria, otros equipos y herramienta</v>
          </cell>
          <cell r="C235" t="str">
            <v>N</v>
          </cell>
        </row>
        <row r="236">
          <cell r="A236">
            <v>357001</v>
          </cell>
          <cell r="B236" t="str">
            <v>Instalación, reparación y mantenimiento de Equipo de Telecomunicaciones</v>
          </cell>
          <cell r="C236" t="str">
            <v>S</v>
          </cell>
        </row>
        <row r="237">
          <cell r="A237">
            <v>357002</v>
          </cell>
          <cell r="B237" t="str">
            <v>Instalación, reparación y mantenimiento de maquinaria, otros equipos y herramienta</v>
          </cell>
          <cell r="C237" t="str">
            <v>S</v>
          </cell>
        </row>
        <row r="238">
          <cell r="A238">
            <v>358000</v>
          </cell>
          <cell r="B238" t="str">
            <v>Servicios de limpieza y manejo de desechos</v>
          </cell>
          <cell r="C238" t="str">
            <v>N</v>
          </cell>
        </row>
        <row r="239">
          <cell r="A239">
            <v>358001</v>
          </cell>
          <cell r="B239" t="str">
            <v>Servicios de higiene y limpieza</v>
          </cell>
          <cell r="C239" t="str">
            <v>S</v>
          </cell>
        </row>
        <row r="240">
          <cell r="A240">
            <v>358002</v>
          </cell>
          <cell r="B240" t="str">
            <v>Servicios de Limpieza y Lavado de Vehículos</v>
          </cell>
          <cell r="C240" t="str">
            <v>S</v>
          </cell>
        </row>
        <row r="241">
          <cell r="A241">
            <v>358003</v>
          </cell>
          <cell r="B241" t="str">
            <v>Servicios de Lavandería</v>
          </cell>
          <cell r="C241" t="str">
            <v>S</v>
          </cell>
        </row>
        <row r="242">
          <cell r="A242">
            <v>359000</v>
          </cell>
          <cell r="B242" t="str">
            <v>Servicios de jardinería y fumigación</v>
          </cell>
          <cell r="C242" t="str">
            <v>N</v>
          </cell>
        </row>
        <row r="243">
          <cell r="A243">
            <v>359001</v>
          </cell>
          <cell r="B243" t="str">
            <v>Árboles, plantas, semillas y abonos</v>
          </cell>
          <cell r="C243" t="str">
            <v>S</v>
          </cell>
        </row>
        <row r="244">
          <cell r="A244">
            <v>359002</v>
          </cell>
          <cell r="B244" t="str">
            <v>Fumigación de áreas verdes</v>
          </cell>
          <cell r="C244" t="str">
            <v>S</v>
          </cell>
        </row>
        <row r="245">
          <cell r="A245">
            <v>360000</v>
          </cell>
          <cell r="B245" t="str">
            <v>SERVICIOS DE COMUNICACIÓN SOCIAL Y PUBLICIDAD</v>
          </cell>
          <cell r="C245" t="str">
            <v>N</v>
          </cell>
        </row>
        <row r="246">
          <cell r="A246">
            <v>361000</v>
          </cell>
          <cell r="B246" t="str">
            <v>Difusión por radio, televisión y otros medios de mensajes sobre programas y actividades gubernamentales</v>
          </cell>
          <cell r="C246" t="str">
            <v>N</v>
          </cell>
        </row>
        <row r="247">
          <cell r="A247">
            <v>361001</v>
          </cell>
          <cell r="B247" t="str">
            <v>Gastos de difusión</v>
          </cell>
          <cell r="C247" t="str">
            <v>S</v>
          </cell>
        </row>
        <row r="248">
          <cell r="A248">
            <v>361002</v>
          </cell>
          <cell r="B248" t="str">
            <v>Impresiones y publicaciones oficiales</v>
          </cell>
          <cell r="C248" t="str">
            <v>S</v>
          </cell>
        </row>
        <row r="249">
          <cell r="A249">
            <v>361003</v>
          </cell>
          <cell r="B249" t="str">
            <v>Rotulaciones oficiales</v>
          </cell>
          <cell r="C249" t="str">
            <v>S</v>
          </cell>
        </row>
        <row r="250">
          <cell r="A250">
            <v>361004</v>
          </cell>
          <cell r="B250" t="str">
            <v>Publicación de convocatorias</v>
          </cell>
          <cell r="C250" t="str">
            <v>S</v>
          </cell>
        </row>
        <row r="251">
          <cell r="A251">
            <v>362000</v>
          </cell>
          <cell r="B251" t="str">
            <v>Difusión por radio, televisión y otros medios de mensajes comerciales para promover la venta de bienes o servicios</v>
          </cell>
          <cell r="C251" t="str">
            <v>N</v>
          </cell>
        </row>
        <row r="252">
          <cell r="A252">
            <v>362001</v>
          </cell>
          <cell r="B252" t="str">
            <v>Difusión por radio, televisión y otros medios de mensajes comerciales para promover la venta de bienes o servicios</v>
          </cell>
          <cell r="C252" t="str">
            <v>S</v>
          </cell>
        </row>
        <row r="253">
          <cell r="A253">
            <v>362002</v>
          </cell>
          <cell r="B253" t="str">
            <v>Difusión por radio, televisión y otros medios de mensajes comerciales para promover la venta de bienes o servicios, fuera del país</v>
          </cell>
          <cell r="C253" t="str">
            <v>S</v>
          </cell>
        </row>
        <row r="254">
          <cell r="A254">
            <v>363000</v>
          </cell>
          <cell r="B254" t="str">
            <v>Servicios de creatividad, preproducción y producción de publicidad, excepto Internet</v>
          </cell>
          <cell r="C254" t="str">
            <v>N</v>
          </cell>
        </row>
        <row r="255">
          <cell r="A255">
            <v>363001</v>
          </cell>
          <cell r="B255" t="str">
            <v>Servicios de Producción y Diseño Publicitario</v>
          </cell>
          <cell r="C255" t="str">
            <v>S</v>
          </cell>
        </row>
        <row r="256">
          <cell r="A256">
            <v>364000</v>
          </cell>
          <cell r="B256" t="str">
            <v>Servicios de revelado de fotografías</v>
          </cell>
          <cell r="C256" t="str">
            <v>N</v>
          </cell>
        </row>
        <row r="257">
          <cell r="A257">
            <v>364001</v>
          </cell>
          <cell r="B257" t="str">
            <v>Revelado de Fotografías</v>
          </cell>
          <cell r="C257" t="str">
            <v>S</v>
          </cell>
        </row>
        <row r="258">
          <cell r="A258">
            <v>365000</v>
          </cell>
          <cell r="B258" t="str">
            <v>Servicios de la industria fílmica, del sonido y del video</v>
          </cell>
          <cell r="C258" t="str">
            <v>N</v>
          </cell>
        </row>
        <row r="259">
          <cell r="A259">
            <v>365001</v>
          </cell>
          <cell r="B259" t="str">
            <v>Servicios de la industria fílmica, del sonido y del video</v>
          </cell>
          <cell r="C259" t="str">
            <v>S</v>
          </cell>
        </row>
        <row r="260">
          <cell r="A260">
            <v>366000</v>
          </cell>
          <cell r="B260" t="str">
            <v>Servicio de creación y difusión de contenido exclusivamente a través de Internet</v>
          </cell>
          <cell r="C260" t="str">
            <v>N</v>
          </cell>
        </row>
        <row r="261">
          <cell r="A261">
            <v>366001</v>
          </cell>
          <cell r="B261" t="str">
            <v>Gastos de difusión a través de internet</v>
          </cell>
          <cell r="C261" t="str">
            <v>S</v>
          </cell>
        </row>
        <row r="262">
          <cell r="A262">
            <v>369000</v>
          </cell>
          <cell r="B262" t="str">
            <v>Otros servicios de información</v>
          </cell>
          <cell r="C262" t="str">
            <v>N</v>
          </cell>
        </row>
        <row r="263">
          <cell r="A263">
            <v>369001</v>
          </cell>
          <cell r="B263" t="str">
            <v>Monitoreo de Información y Encuestas</v>
          </cell>
          <cell r="C263" t="str">
            <v>S</v>
          </cell>
        </row>
        <row r="264">
          <cell r="A264">
            <v>370000</v>
          </cell>
          <cell r="B264" t="str">
            <v>SERVICIOS DE TRASLADO Y VIÁTICOS</v>
          </cell>
          <cell r="C264" t="str">
            <v>N</v>
          </cell>
        </row>
        <row r="265">
          <cell r="A265">
            <v>371000</v>
          </cell>
          <cell r="B265" t="str">
            <v>Pasajes aéreos</v>
          </cell>
          <cell r="C265" t="str">
            <v>N</v>
          </cell>
        </row>
        <row r="266">
          <cell r="A266">
            <v>371001</v>
          </cell>
          <cell r="B266" t="str">
            <v>Pasajes aéreos</v>
          </cell>
          <cell r="C266" t="str">
            <v>S</v>
          </cell>
        </row>
        <row r="267">
          <cell r="A267">
            <v>372000</v>
          </cell>
          <cell r="B267" t="str">
            <v>Pasajes terrestres</v>
          </cell>
          <cell r="C267" t="str">
            <v>N</v>
          </cell>
        </row>
        <row r="268">
          <cell r="A268">
            <v>372001</v>
          </cell>
          <cell r="B268" t="str">
            <v>Pasajes terrestres</v>
          </cell>
          <cell r="C268" t="str">
            <v>S</v>
          </cell>
        </row>
        <row r="269">
          <cell r="A269">
            <v>373000</v>
          </cell>
          <cell r="B269" t="str">
            <v>Pasajes marítimos, lacustres y fluviales</v>
          </cell>
          <cell r="C269" t="str">
            <v>N</v>
          </cell>
        </row>
        <row r="270">
          <cell r="A270">
            <v>373001</v>
          </cell>
          <cell r="B270" t="str">
            <v>Pasajes marítimos</v>
          </cell>
          <cell r="C270" t="str">
            <v>S</v>
          </cell>
        </row>
        <row r="271">
          <cell r="A271">
            <v>374000</v>
          </cell>
          <cell r="B271" t="str">
            <v>Autotransporte</v>
          </cell>
          <cell r="C271" t="str">
            <v>N</v>
          </cell>
        </row>
        <row r="272">
          <cell r="A272">
            <v>374001</v>
          </cell>
          <cell r="B272" t="str">
            <v>Autotransporte</v>
          </cell>
          <cell r="C272" t="str">
            <v>S</v>
          </cell>
        </row>
        <row r="273">
          <cell r="A273">
            <v>375000</v>
          </cell>
          <cell r="B273" t="str">
            <v>Viáticos en el país</v>
          </cell>
          <cell r="C273" t="str">
            <v>N</v>
          </cell>
        </row>
        <row r="274">
          <cell r="A274">
            <v>375001</v>
          </cell>
          <cell r="B274" t="str">
            <v>Viáticos</v>
          </cell>
          <cell r="C274" t="str">
            <v>S</v>
          </cell>
        </row>
        <row r="275">
          <cell r="A275">
            <v>376000</v>
          </cell>
          <cell r="B275" t="str">
            <v>Viáticos en el extranjero</v>
          </cell>
          <cell r="C275" t="str">
            <v>N</v>
          </cell>
        </row>
        <row r="276">
          <cell r="A276">
            <v>376001</v>
          </cell>
          <cell r="B276" t="str">
            <v>Viáticos en el extranjero</v>
          </cell>
          <cell r="C276" t="str">
            <v>S</v>
          </cell>
        </row>
        <row r="277">
          <cell r="A277">
            <v>377000</v>
          </cell>
          <cell r="B277" t="str">
            <v>Gastos de instalación y traslado de menaje</v>
          </cell>
          <cell r="C277" t="str">
            <v>N</v>
          </cell>
        </row>
        <row r="278">
          <cell r="A278">
            <v>377001</v>
          </cell>
          <cell r="B278" t="str">
            <v>Gastos de instalación y traslado de menaje</v>
          </cell>
          <cell r="C278" t="str">
            <v>S</v>
          </cell>
        </row>
        <row r="279">
          <cell r="A279">
            <v>378000</v>
          </cell>
          <cell r="B279" t="str">
            <v>Servicios integrales de traslado y viáticos</v>
          </cell>
          <cell r="C279" t="str">
            <v>N</v>
          </cell>
        </row>
        <row r="280">
          <cell r="A280">
            <v>378001</v>
          </cell>
          <cell r="B280" t="str">
            <v>Diligencias judiciales</v>
          </cell>
          <cell r="C280" t="str">
            <v>S</v>
          </cell>
        </row>
        <row r="281">
          <cell r="A281">
            <v>379000</v>
          </cell>
          <cell r="B281" t="str">
            <v>Otros servicios de traslado y hospedaje</v>
          </cell>
          <cell r="C281" t="str">
            <v>N</v>
          </cell>
        </row>
        <row r="282">
          <cell r="A282">
            <v>379001</v>
          </cell>
          <cell r="B282" t="str">
            <v>Traslado de vehículos</v>
          </cell>
          <cell r="C282" t="str">
            <v>S</v>
          </cell>
        </row>
        <row r="283">
          <cell r="A283">
            <v>379002</v>
          </cell>
          <cell r="B283" t="str">
            <v>Gastos de traslado de personas</v>
          </cell>
          <cell r="C283" t="str">
            <v>S</v>
          </cell>
        </row>
        <row r="284">
          <cell r="A284">
            <v>379003</v>
          </cell>
          <cell r="B284" t="str">
            <v>Hospedaje de personas</v>
          </cell>
          <cell r="C284" t="str">
            <v>S</v>
          </cell>
        </row>
        <row r="285">
          <cell r="A285">
            <v>380000</v>
          </cell>
          <cell r="B285" t="str">
            <v>SERVICIOS OFICIALES</v>
          </cell>
          <cell r="C285" t="str">
            <v>N</v>
          </cell>
        </row>
        <row r="286">
          <cell r="A286">
            <v>381000</v>
          </cell>
          <cell r="B286" t="str">
            <v>Gastos de ceremonial</v>
          </cell>
          <cell r="C286" t="str">
            <v>N</v>
          </cell>
        </row>
        <row r="287">
          <cell r="A287">
            <v>381001</v>
          </cell>
          <cell r="B287" t="str">
            <v>Atención a personalidades nacionales y extranjeras</v>
          </cell>
          <cell r="C287" t="str">
            <v>S</v>
          </cell>
        </row>
        <row r="288">
          <cell r="A288">
            <v>382000</v>
          </cell>
          <cell r="B288" t="str">
            <v>Gastos de orden social y cultural</v>
          </cell>
          <cell r="C288" t="str">
            <v>N</v>
          </cell>
        </row>
        <row r="289">
          <cell r="A289">
            <v>382001</v>
          </cell>
          <cell r="B289" t="str">
            <v>Espectáculos y actividades culturales</v>
          </cell>
          <cell r="C289" t="str">
            <v>S</v>
          </cell>
        </row>
        <row r="290">
          <cell r="A290">
            <v>382002</v>
          </cell>
          <cell r="B290" t="str">
            <v>Gastos de recepción, conmemorativos y de orden social</v>
          </cell>
          <cell r="C290" t="str">
            <v>S</v>
          </cell>
        </row>
        <row r="291">
          <cell r="A291">
            <v>382003</v>
          </cell>
          <cell r="B291" t="str">
            <v>Adaptaciones para eventos sociales y culturales</v>
          </cell>
          <cell r="C291" t="str">
            <v>S</v>
          </cell>
        </row>
        <row r="292">
          <cell r="A292">
            <v>382004</v>
          </cell>
          <cell r="B292" t="str">
            <v>Festividades y Eventos</v>
          </cell>
          <cell r="C292" t="str">
            <v>S</v>
          </cell>
        </row>
        <row r="293">
          <cell r="A293">
            <v>383000</v>
          </cell>
          <cell r="B293" t="str">
            <v>Congresos y convenciones</v>
          </cell>
          <cell r="C293" t="str">
            <v>N</v>
          </cell>
        </row>
        <row r="294">
          <cell r="A294">
            <v>383001</v>
          </cell>
          <cell r="B294" t="str">
            <v>Congresos y convenciones</v>
          </cell>
          <cell r="C294" t="str">
            <v>S</v>
          </cell>
        </row>
        <row r="295">
          <cell r="A295">
            <v>384000</v>
          </cell>
          <cell r="B295" t="str">
            <v>Exposiciones</v>
          </cell>
          <cell r="C295" t="str">
            <v>N</v>
          </cell>
        </row>
        <row r="296">
          <cell r="A296">
            <v>384001</v>
          </cell>
          <cell r="B296" t="str">
            <v>Exposiciones</v>
          </cell>
          <cell r="C296" t="str">
            <v>S</v>
          </cell>
        </row>
        <row r="297">
          <cell r="A297">
            <v>385000</v>
          </cell>
          <cell r="B297" t="str">
            <v>Gastos de representación</v>
          </cell>
          <cell r="C297" t="str">
            <v>N</v>
          </cell>
        </row>
        <row r="298">
          <cell r="A298">
            <v>385001</v>
          </cell>
          <cell r="B298" t="str">
            <v>Gastos de representación</v>
          </cell>
          <cell r="C298" t="str">
            <v>S</v>
          </cell>
        </row>
        <row r="299">
          <cell r="A299">
            <v>390000</v>
          </cell>
          <cell r="B299" t="str">
            <v>OTROS SERVICIOS GENERALES</v>
          </cell>
          <cell r="C299" t="str">
            <v>N</v>
          </cell>
        </row>
        <row r="300">
          <cell r="A300">
            <v>391000</v>
          </cell>
          <cell r="B300" t="str">
            <v>Servicios funerarios y de cementerios</v>
          </cell>
          <cell r="C300" t="str">
            <v>N</v>
          </cell>
        </row>
        <row r="301">
          <cell r="A301">
            <v>391001</v>
          </cell>
          <cell r="B301" t="str">
            <v>Servicios funerarios y de cementerios</v>
          </cell>
          <cell r="C301" t="str">
            <v>S</v>
          </cell>
        </row>
        <row r="302">
          <cell r="A302">
            <v>392000</v>
          </cell>
          <cell r="B302" t="str">
            <v>Impuestos y derechos</v>
          </cell>
          <cell r="C302" t="str">
            <v>N</v>
          </cell>
        </row>
        <row r="303">
          <cell r="A303">
            <v>392001</v>
          </cell>
          <cell r="B303" t="str">
            <v>Impuestos y derechos</v>
          </cell>
          <cell r="C303" t="str">
            <v>S</v>
          </cell>
        </row>
        <row r="304">
          <cell r="A304">
            <v>393000</v>
          </cell>
          <cell r="B304" t="str">
            <v>Impuestos y derechos de importación</v>
          </cell>
          <cell r="C304" t="str">
            <v>N</v>
          </cell>
        </row>
        <row r="305">
          <cell r="A305">
            <v>393001</v>
          </cell>
          <cell r="B305" t="str">
            <v>Impuestos y derechos de importación</v>
          </cell>
          <cell r="C305" t="str">
            <v>S</v>
          </cell>
        </row>
        <row r="306">
          <cell r="A306">
            <v>394000</v>
          </cell>
          <cell r="B306" t="str">
            <v>Sentencias y resoluciones judiciales</v>
          </cell>
          <cell r="C306" t="str">
            <v>N</v>
          </cell>
        </row>
        <row r="307">
          <cell r="A307">
            <v>394001</v>
          </cell>
          <cell r="B307" t="str">
            <v>Sentencias y resoluciones judiciales</v>
          </cell>
          <cell r="C307" t="str">
            <v>S</v>
          </cell>
        </row>
        <row r="308">
          <cell r="A308">
            <v>395000</v>
          </cell>
          <cell r="B308" t="str">
            <v>Penas, multas, accesorios y actualizaciones</v>
          </cell>
          <cell r="C308" t="str">
            <v>N</v>
          </cell>
        </row>
        <row r="309">
          <cell r="A309">
            <v>395001</v>
          </cell>
          <cell r="B309" t="str">
            <v>Penas, multas, accesorios y actualizaciones</v>
          </cell>
          <cell r="C309" t="str">
            <v>S</v>
          </cell>
        </row>
        <row r="310">
          <cell r="A310">
            <v>396000</v>
          </cell>
          <cell r="B310" t="str">
            <v>Otros gastos por responsabilidades</v>
          </cell>
          <cell r="C310" t="str">
            <v>N</v>
          </cell>
        </row>
        <row r="311">
          <cell r="A311">
            <v>396001</v>
          </cell>
          <cell r="B311" t="str">
            <v>Otros gastos por responsabilidades</v>
          </cell>
          <cell r="C311" t="str">
            <v>S</v>
          </cell>
        </row>
        <row r="312">
          <cell r="A312">
            <v>399000</v>
          </cell>
          <cell r="B312" t="str">
            <v>Otros servicios generales</v>
          </cell>
          <cell r="C312" t="str">
            <v>N</v>
          </cell>
        </row>
        <row r="313">
          <cell r="A313">
            <v>399001</v>
          </cell>
          <cell r="B313" t="str">
            <v>Gastos menores</v>
          </cell>
          <cell r="C313" t="str">
            <v>S</v>
          </cell>
        </row>
        <row r="314">
          <cell r="A314">
            <v>399002</v>
          </cell>
          <cell r="B314" t="str">
            <v>Retribuciones a reos</v>
          </cell>
          <cell r="C314" t="str">
            <v>S</v>
          </cell>
        </row>
        <row r="315">
          <cell r="A315">
            <v>399003</v>
          </cell>
          <cell r="B315" t="str">
            <v>Otros servicios de la administración pública</v>
          </cell>
          <cell r="C315" t="str">
            <v>S</v>
          </cell>
        </row>
        <row r="316">
          <cell r="A316">
            <v>399004</v>
          </cell>
          <cell r="B316" t="str">
            <v>Previsión Arrendamientos</v>
          </cell>
          <cell r="C316" t="str">
            <v>Prev</v>
          </cell>
        </row>
        <row r="317">
          <cell r="A317">
            <v>500000</v>
          </cell>
          <cell r="B317" t="str">
            <v>BIENES MUEBLES, INMUEBLES E INTANGIBLES</v>
          </cell>
          <cell r="C317" t="str">
            <v>N</v>
          </cell>
        </row>
        <row r="318">
          <cell r="A318">
            <v>510000</v>
          </cell>
          <cell r="B318" t="str">
            <v>MOBILIARIO Y EQUIPO DE ADMINISTRACIÓN</v>
          </cell>
          <cell r="C318" t="str">
            <v>N</v>
          </cell>
        </row>
        <row r="319">
          <cell r="A319">
            <v>511000</v>
          </cell>
          <cell r="B319" t="str">
            <v>Muebles de oficina y estantería</v>
          </cell>
          <cell r="C319" t="str">
            <v>N</v>
          </cell>
        </row>
        <row r="320">
          <cell r="A320">
            <v>511001</v>
          </cell>
          <cell r="B320" t="str">
            <v>Mobiliario</v>
          </cell>
          <cell r="C320" t="str">
            <v>S</v>
          </cell>
        </row>
        <row r="321">
          <cell r="A321">
            <v>512000</v>
          </cell>
          <cell r="B321" t="str">
            <v>Muebles, excepto de oficina y estantería</v>
          </cell>
          <cell r="C321" t="str">
            <v>N</v>
          </cell>
        </row>
        <row r="322">
          <cell r="A322">
            <v>512001</v>
          </cell>
          <cell r="B322" t="str">
            <v>Muebles, excepto de oficina y estantería</v>
          </cell>
          <cell r="C322" t="str">
            <v>S</v>
          </cell>
        </row>
        <row r="323">
          <cell r="A323">
            <v>513000</v>
          </cell>
          <cell r="B323" t="str">
            <v>Bienes artísticos, culturales y científicos</v>
          </cell>
          <cell r="C323" t="str">
            <v>N</v>
          </cell>
        </row>
        <row r="324">
          <cell r="A324">
            <v>513001</v>
          </cell>
          <cell r="B324" t="str">
            <v>Bienes artísticos y culturales</v>
          </cell>
          <cell r="C324" t="str">
            <v>S</v>
          </cell>
        </row>
        <row r="325">
          <cell r="A325">
            <v>514000</v>
          </cell>
          <cell r="B325" t="str">
            <v>Objetos de valor</v>
          </cell>
          <cell r="C325" t="str">
            <v>N</v>
          </cell>
        </row>
        <row r="326">
          <cell r="A326">
            <v>514001</v>
          </cell>
          <cell r="B326" t="str">
            <v>Objetos de valor</v>
          </cell>
          <cell r="C326" t="str">
            <v>S</v>
          </cell>
        </row>
        <row r="327">
          <cell r="A327">
            <v>515000</v>
          </cell>
          <cell r="B327" t="str">
            <v>Equipo de cómputo y de tecnologías de la información</v>
          </cell>
          <cell r="C327" t="str">
            <v>N</v>
          </cell>
        </row>
        <row r="328">
          <cell r="A328">
            <v>515001</v>
          </cell>
          <cell r="B328" t="str">
            <v>Equipo de administración</v>
          </cell>
          <cell r="C328" t="str">
            <v>S</v>
          </cell>
        </row>
        <row r="329">
          <cell r="A329">
            <v>515002</v>
          </cell>
          <cell r="B329" t="str">
            <v>Equipo de Cómputo y Aparatos de Uso Informático</v>
          </cell>
          <cell r="C329" t="str">
            <v>S</v>
          </cell>
        </row>
        <row r="330">
          <cell r="A330">
            <v>515003</v>
          </cell>
          <cell r="B330" t="str">
            <v>Sistemas de Rastreo Satelital (GPS)</v>
          </cell>
          <cell r="C330" t="str">
            <v>S</v>
          </cell>
        </row>
        <row r="331">
          <cell r="A331">
            <v>519000</v>
          </cell>
          <cell r="B331" t="str">
            <v>Otros mobiliarios y equipos de administración</v>
          </cell>
          <cell r="C331" t="str">
            <v>N</v>
          </cell>
        </row>
        <row r="332">
          <cell r="A332">
            <v>519001</v>
          </cell>
          <cell r="B332" t="str">
            <v>Cámaras y Circuitos Cerrados de Seguridad</v>
          </cell>
          <cell r="C332" t="str">
            <v>S</v>
          </cell>
        </row>
        <row r="333">
          <cell r="A333">
            <v>519002</v>
          </cell>
          <cell r="B333" t="str">
            <v>Equipos de Audio</v>
          </cell>
          <cell r="C333" t="str">
            <v>S</v>
          </cell>
        </row>
        <row r="334">
          <cell r="A334">
            <v>519003</v>
          </cell>
          <cell r="B334" t="str">
            <v>Otras Herramientas, Mobiliarios y Eq. De Administración</v>
          </cell>
          <cell r="C334" t="str">
            <v>S</v>
          </cell>
        </row>
        <row r="335">
          <cell r="A335">
            <v>519004</v>
          </cell>
          <cell r="B335" t="str">
            <v>Aulas Móviles de Vigilancia</v>
          </cell>
          <cell r="C335" t="str">
            <v>S</v>
          </cell>
        </row>
        <row r="336">
          <cell r="A336">
            <v>520000</v>
          </cell>
          <cell r="B336" t="str">
            <v>MOBILIARIO Y EQUIPO EDUCACIONAL Y RECREATIVO</v>
          </cell>
          <cell r="C336" t="str">
            <v>N</v>
          </cell>
        </row>
        <row r="337">
          <cell r="A337">
            <v>521000</v>
          </cell>
          <cell r="B337" t="str">
            <v>Equipos y aparatos audiovisuales</v>
          </cell>
          <cell r="C337" t="str">
            <v>N</v>
          </cell>
        </row>
        <row r="338">
          <cell r="A338">
            <v>521001</v>
          </cell>
          <cell r="B338" t="str">
            <v>Equipo educacional y recreativo</v>
          </cell>
          <cell r="C338" t="str">
            <v>S</v>
          </cell>
        </row>
        <row r="339">
          <cell r="A339">
            <v>522000</v>
          </cell>
          <cell r="B339" t="str">
            <v>Aparatos deportivos</v>
          </cell>
          <cell r="C339" t="str">
            <v>N</v>
          </cell>
        </row>
        <row r="340">
          <cell r="A340">
            <v>522001</v>
          </cell>
          <cell r="B340" t="str">
            <v>Aparatos deportivos</v>
          </cell>
          <cell r="C340" t="str">
            <v>S</v>
          </cell>
        </row>
        <row r="341">
          <cell r="A341">
            <v>523000</v>
          </cell>
          <cell r="B341" t="str">
            <v>Cámaras fotográficas y de video</v>
          </cell>
          <cell r="C341" t="str">
            <v>N</v>
          </cell>
        </row>
        <row r="342">
          <cell r="A342">
            <v>523001</v>
          </cell>
          <cell r="B342" t="str">
            <v>Cámaras Fotográficas</v>
          </cell>
          <cell r="C342" t="str">
            <v>S</v>
          </cell>
        </row>
        <row r="343">
          <cell r="A343">
            <v>523002</v>
          </cell>
          <cell r="B343" t="str">
            <v>Cámaras de Video</v>
          </cell>
          <cell r="C343" t="str">
            <v>S</v>
          </cell>
        </row>
        <row r="344">
          <cell r="A344">
            <v>529000</v>
          </cell>
          <cell r="B344" t="str">
            <v>Otro mobiliario y equipo educacional y recreativo</v>
          </cell>
          <cell r="C344" t="str">
            <v>N</v>
          </cell>
        </row>
        <row r="345">
          <cell r="A345">
            <v>529001</v>
          </cell>
          <cell r="B345" t="str">
            <v>Instrumentos Musicales</v>
          </cell>
          <cell r="C345" t="str">
            <v>S</v>
          </cell>
        </row>
        <row r="346">
          <cell r="A346">
            <v>529002</v>
          </cell>
          <cell r="B346" t="str">
            <v>Equipo Educacional</v>
          </cell>
          <cell r="C346" t="str">
            <v>S</v>
          </cell>
        </row>
        <row r="347">
          <cell r="A347">
            <v>530000</v>
          </cell>
          <cell r="B347" t="str">
            <v>EQUIPO E INSTRUMENTAL MÉDICO Y DE LABORATORIO</v>
          </cell>
          <cell r="C347" t="str">
            <v>N</v>
          </cell>
        </row>
        <row r="348">
          <cell r="A348">
            <v>531000</v>
          </cell>
          <cell r="B348" t="str">
            <v>Equipo médico y de laboratorio</v>
          </cell>
          <cell r="C348" t="str">
            <v>N</v>
          </cell>
        </row>
        <row r="349">
          <cell r="A349">
            <v>531001</v>
          </cell>
          <cell r="B349" t="str">
            <v>Equipo e instrumental medico</v>
          </cell>
          <cell r="C349" t="str">
            <v>S</v>
          </cell>
        </row>
        <row r="350">
          <cell r="A350">
            <v>532000</v>
          </cell>
          <cell r="B350" t="str">
            <v>Instrumental médico y de laboratorio</v>
          </cell>
          <cell r="C350" t="str">
            <v>N</v>
          </cell>
        </row>
        <row r="351">
          <cell r="A351">
            <v>532001</v>
          </cell>
          <cell r="B351" t="str">
            <v>Instrumental médico y de laboratorio</v>
          </cell>
          <cell r="C351" t="str">
            <v>S</v>
          </cell>
        </row>
        <row r="352">
          <cell r="A352">
            <v>540000</v>
          </cell>
          <cell r="B352" t="str">
            <v>VEHÍCULOS Y EQUIPO DE TRANSPORTE</v>
          </cell>
          <cell r="C352" t="str">
            <v>N</v>
          </cell>
        </row>
        <row r="353">
          <cell r="A353">
            <v>541000</v>
          </cell>
          <cell r="B353" t="str">
            <v>Automóviles y camiones</v>
          </cell>
          <cell r="C353" t="str">
            <v>N</v>
          </cell>
        </row>
        <row r="354">
          <cell r="A354">
            <v>541001</v>
          </cell>
          <cell r="B354" t="str">
            <v>Vehículos y equipo terrestre</v>
          </cell>
          <cell r="C354" t="str">
            <v>S</v>
          </cell>
        </row>
        <row r="355">
          <cell r="A355">
            <v>542000</v>
          </cell>
          <cell r="B355" t="str">
            <v>Carrocerías y remolques</v>
          </cell>
          <cell r="C355" t="str">
            <v>N</v>
          </cell>
        </row>
        <row r="356">
          <cell r="A356">
            <v>542001</v>
          </cell>
          <cell r="B356" t="str">
            <v>Carrocerías y remolques</v>
          </cell>
          <cell r="C356" t="str">
            <v>S</v>
          </cell>
        </row>
        <row r="357">
          <cell r="A357">
            <v>543000</v>
          </cell>
          <cell r="B357" t="str">
            <v>Equipo aeroespacial</v>
          </cell>
          <cell r="C357" t="str">
            <v>N</v>
          </cell>
        </row>
        <row r="358">
          <cell r="A358">
            <v>543001</v>
          </cell>
          <cell r="B358" t="str">
            <v>Vehículos y equipo de transporte aéreo</v>
          </cell>
          <cell r="C358" t="str">
            <v>S</v>
          </cell>
        </row>
        <row r="359">
          <cell r="A359">
            <v>544000</v>
          </cell>
          <cell r="B359" t="str">
            <v>Equipo ferroviario</v>
          </cell>
          <cell r="C359" t="str">
            <v>N</v>
          </cell>
        </row>
        <row r="360">
          <cell r="A360">
            <v>544001</v>
          </cell>
          <cell r="B360" t="str">
            <v>Equipo ferroviario</v>
          </cell>
          <cell r="C360" t="str">
            <v>S</v>
          </cell>
        </row>
        <row r="361">
          <cell r="A361">
            <v>545000</v>
          </cell>
          <cell r="B361" t="str">
            <v>Embarcaciones</v>
          </cell>
          <cell r="C361" t="str">
            <v>N</v>
          </cell>
        </row>
        <row r="362">
          <cell r="A362">
            <v>545001</v>
          </cell>
          <cell r="B362" t="str">
            <v>Vehículos y equipo marino</v>
          </cell>
          <cell r="C362" t="str">
            <v>S</v>
          </cell>
        </row>
        <row r="363">
          <cell r="A363">
            <v>549000</v>
          </cell>
          <cell r="B363" t="str">
            <v>Otros Equipos de Transporte</v>
          </cell>
          <cell r="C363" t="str">
            <v>N</v>
          </cell>
        </row>
        <row r="364">
          <cell r="A364">
            <v>549001</v>
          </cell>
          <cell r="B364" t="str">
            <v>Otros equipos de transporte</v>
          </cell>
          <cell r="C364" t="str">
            <v>S</v>
          </cell>
        </row>
        <row r="365">
          <cell r="A365">
            <v>550000</v>
          </cell>
          <cell r="B365" t="str">
            <v>EQUIPO DE DEFENSA Y SEGURIDAD</v>
          </cell>
          <cell r="C365" t="str">
            <v>N</v>
          </cell>
        </row>
        <row r="366">
          <cell r="A366">
            <v>551000</v>
          </cell>
          <cell r="B366" t="str">
            <v>Equipo de defensa y seguridad</v>
          </cell>
          <cell r="C366" t="str">
            <v>N</v>
          </cell>
        </row>
        <row r="367">
          <cell r="A367">
            <v>551001</v>
          </cell>
          <cell r="B367" t="str">
            <v>Equipo de defensa y seguridad pública</v>
          </cell>
          <cell r="C367" t="str">
            <v>S</v>
          </cell>
        </row>
        <row r="368">
          <cell r="A368">
            <v>560000</v>
          </cell>
          <cell r="B368" t="str">
            <v>MAQUINARIA, OTROS EQUIPOS Y HERRAMIENTAS</v>
          </cell>
          <cell r="C368" t="str">
            <v>N</v>
          </cell>
        </row>
        <row r="369">
          <cell r="A369">
            <v>561000</v>
          </cell>
          <cell r="B369" t="str">
            <v>Maquinaria y equipo agropecuario</v>
          </cell>
          <cell r="C369" t="str">
            <v>N</v>
          </cell>
        </row>
        <row r="370">
          <cell r="A370">
            <v>561001</v>
          </cell>
          <cell r="B370" t="str">
            <v>Maquinaria y equipo agropecuario, industrial y de construcción</v>
          </cell>
          <cell r="C370" t="str">
            <v>S</v>
          </cell>
        </row>
        <row r="371">
          <cell r="A371">
            <v>562000</v>
          </cell>
          <cell r="B371" t="str">
            <v>Maquinaria y equipo industrial</v>
          </cell>
          <cell r="C371" t="str">
            <v>N</v>
          </cell>
        </row>
        <row r="372">
          <cell r="A372">
            <v>562001</v>
          </cell>
          <cell r="B372" t="str">
            <v>Bombas Industriales</v>
          </cell>
          <cell r="C372" t="str">
            <v>S</v>
          </cell>
        </row>
        <row r="373">
          <cell r="A373">
            <v>563000</v>
          </cell>
          <cell r="B373" t="str">
            <v>Maquinaria y equipo de construcción</v>
          </cell>
          <cell r="C373" t="str">
            <v>N</v>
          </cell>
        </row>
        <row r="374">
          <cell r="A374">
            <v>563001</v>
          </cell>
          <cell r="B374" t="str">
            <v>Maquinaria y equipo de construcción</v>
          </cell>
          <cell r="C374" t="str">
            <v>S</v>
          </cell>
        </row>
        <row r="375">
          <cell r="A375">
            <v>564000</v>
          </cell>
          <cell r="B375" t="str">
            <v>Sistemas de aire acondicionado, calefacción y de refrigeración industrial y comercial</v>
          </cell>
          <cell r="C375" t="str">
            <v>N</v>
          </cell>
        </row>
        <row r="376">
          <cell r="A376">
            <v>564001</v>
          </cell>
          <cell r="B376" t="str">
            <v>Sistemas de aire acondicionado, calefacción y de refrigeración industrial y comercial</v>
          </cell>
          <cell r="C376" t="str">
            <v>S</v>
          </cell>
        </row>
        <row r="377">
          <cell r="A377">
            <v>565000</v>
          </cell>
          <cell r="B377" t="str">
            <v>Equipo de comunicación y telecomunicación</v>
          </cell>
          <cell r="C377" t="str">
            <v>N</v>
          </cell>
        </row>
        <row r="378">
          <cell r="A378">
            <v>565001</v>
          </cell>
          <cell r="B378" t="str">
            <v>Maq. y equipo de telecomunicaciones, eléctrica y electrónica</v>
          </cell>
          <cell r="C378" t="str">
            <v>S</v>
          </cell>
        </row>
        <row r="379">
          <cell r="A379">
            <v>566000</v>
          </cell>
          <cell r="B379" t="str">
            <v>Equipos de generación eléctrica, aparatos y accesorios eléctricos</v>
          </cell>
          <cell r="C379" t="str">
            <v>N</v>
          </cell>
        </row>
        <row r="380">
          <cell r="A380">
            <v>566001</v>
          </cell>
          <cell r="B380" t="str">
            <v>Equipos de generación eléctrica</v>
          </cell>
          <cell r="C380" t="str">
            <v>S</v>
          </cell>
        </row>
        <row r="381">
          <cell r="A381">
            <v>566002</v>
          </cell>
          <cell r="B381" t="str">
            <v>Aparatos y Accesorios eléctricos</v>
          </cell>
          <cell r="C381" t="str">
            <v>S</v>
          </cell>
        </row>
        <row r="382">
          <cell r="A382">
            <v>567000</v>
          </cell>
          <cell r="B382" t="str">
            <v>Herramientas y máquinas-herramienta</v>
          </cell>
          <cell r="C382" t="str">
            <v>N</v>
          </cell>
        </row>
        <row r="383">
          <cell r="A383">
            <v>567001</v>
          </cell>
          <cell r="B383" t="str">
            <v>Herramientas y refacciones mayores</v>
          </cell>
          <cell r="C383" t="str">
            <v>S</v>
          </cell>
        </row>
        <row r="384">
          <cell r="A384">
            <v>569000</v>
          </cell>
          <cell r="B384" t="str">
            <v>Otros equipos</v>
          </cell>
          <cell r="C384" t="str">
            <v>N</v>
          </cell>
        </row>
        <row r="385">
          <cell r="A385">
            <v>569001</v>
          </cell>
          <cell r="B385" t="str">
            <v>Maquinaria y equipo diverso</v>
          </cell>
          <cell r="C385" t="str">
            <v>S</v>
          </cell>
        </row>
        <row r="386">
          <cell r="A386">
            <v>570000</v>
          </cell>
          <cell r="B386" t="str">
            <v>ACTIVOS BIOLÓGICOS</v>
          </cell>
          <cell r="C386" t="str">
            <v>N</v>
          </cell>
        </row>
        <row r="387">
          <cell r="A387">
            <v>571000</v>
          </cell>
          <cell r="B387" t="str">
            <v>Bovinos</v>
          </cell>
          <cell r="C387" t="str">
            <v>N</v>
          </cell>
        </row>
        <row r="388">
          <cell r="A388">
            <v>571001</v>
          </cell>
          <cell r="B388" t="str">
            <v>Bovinos</v>
          </cell>
          <cell r="C388" t="str">
            <v>S</v>
          </cell>
        </row>
        <row r="389">
          <cell r="A389">
            <v>572000</v>
          </cell>
          <cell r="B389" t="str">
            <v>Porcinos</v>
          </cell>
          <cell r="C389" t="str">
            <v>N</v>
          </cell>
        </row>
        <row r="390">
          <cell r="A390">
            <v>572001</v>
          </cell>
          <cell r="B390" t="str">
            <v>Porcinos</v>
          </cell>
          <cell r="C390" t="str">
            <v>S</v>
          </cell>
        </row>
        <row r="391">
          <cell r="A391">
            <v>573000</v>
          </cell>
          <cell r="B391" t="str">
            <v>Aves</v>
          </cell>
          <cell r="C391" t="str">
            <v>N</v>
          </cell>
        </row>
        <row r="392">
          <cell r="A392">
            <v>573001</v>
          </cell>
          <cell r="B392" t="str">
            <v>Aves</v>
          </cell>
          <cell r="C392" t="str">
            <v>S</v>
          </cell>
        </row>
        <row r="393">
          <cell r="A393">
            <v>574000</v>
          </cell>
          <cell r="B393" t="str">
            <v>Ovinos y caprinos</v>
          </cell>
          <cell r="C393" t="str">
            <v>N</v>
          </cell>
        </row>
        <row r="394">
          <cell r="A394">
            <v>574001</v>
          </cell>
          <cell r="B394" t="str">
            <v>Ovinos y caprinos</v>
          </cell>
          <cell r="C394" t="str">
            <v>S</v>
          </cell>
        </row>
        <row r="395">
          <cell r="A395">
            <v>575000</v>
          </cell>
          <cell r="B395" t="str">
            <v>Peces y acuicultura</v>
          </cell>
          <cell r="C395" t="str">
            <v>N</v>
          </cell>
        </row>
        <row r="396">
          <cell r="A396">
            <v>575001</v>
          </cell>
          <cell r="B396" t="str">
            <v>Peces y acuicultura</v>
          </cell>
          <cell r="C396" t="str">
            <v>S</v>
          </cell>
        </row>
        <row r="397">
          <cell r="A397">
            <v>576000</v>
          </cell>
          <cell r="B397" t="str">
            <v>Equinos</v>
          </cell>
          <cell r="C397" t="str">
            <v>N</v>
          </cell>
        </row>
        <row r="398">
          <cell r="A398">
            <v>576001</v>
          </cell>
          <cell r="B398" t="str">
            <v>Equinos</v>
          </cell>
          <cell r="C398" t="str">
            <v>S</v>
          </cell>
        </row>
        <row r="399">
          <cell r="A399">
            <v>577000</v>
          </cell>
          <cell r="B399" t="str">
            <v>Especies menores y de zoológico</v>
          </cell>
          <cell r="C399" t="str">
            <v>N</v>
          </cell>
        </row>
        <row r="400">
          <cell r="A400">
            <v>577001</v>
          </cell>
          <cell r="B400" t="str">
            <v>Especies menores y de zoológico</v>
          </cell>
          <cell r="C400" t="str">
            <v>S</v>
          </cell>
        </row>
        <row r="401">
          <cell r="A401">
            <v>578000</v>
          </cell>
          <cell r="B401" t="str">
            <v>Árboles y plantas</v>
          </cell>
          <cell r="C401" t="str">
            <v>N</v>
          </cell>
        </row>
        <row r="402">
          <cell r="A402">
            <v>578001</v>
          </cell>
          <cell r="B402" t="str">
            <v>Árboles y plantas</v>
          </cell>
          <cell r="C402" t="str">
            <v>S</v>
          </cell>
        </row>
        <row r="403">
          <cell r="A403">
            <v>579000</v>
          </cell>
          <cell r="B403" t="str">
            <v>Otros activos biológicos</v>
          </cell>
          <cell r="C403" t="str">
            <v>N</v>
          </cell>
        </row>
        <row r="404">
          <cell r="A404">
            <v>579001</v>
          </cell>
          <cell r="B404" t="str">
            <v>Otros activos biológicos</v>
          </cell>
          <cell r="C404" t="str">
            <v>S</v>
          </cell>
        </row>
        <row r="405">
          <cell r="A405">
            <v>580000</v>
          </cell>
          <cell r="B405" t="str">
            <v>BIENES INMUEBLES</v>
          </cell>
          <cell r="C405" t="str">
            <v>N</v>
          </cell>
        </row>
        <row r="406">
          <cell r="A406">
            <v>581000</v>
          </cell>
          <cell r="B406" t="str">
            <v>Terrenos</v>
          </cell>
          <cell r="C406" t="str">
            <v>N</v>
          </cell>
        </row>
        <row r="407">
          <cell r="A407">
            <v>581001</v>
          </cell>
          <cell r="B407" t="str">
            <v>Terrenos</v>
          </cell>
          <cell r="C407" t="str">
            <v>S</v>
          </cell>
        </row>
        <row r="408">
          <cell r="A408">
            <v>582000</v>
          </cell>
          <cell r="B408" t="str">
            <v>Viviendas</v>
          </cell>
          <cell r="C408" t="str">
            <v>N</v>
          </cell>
        </row>
        <row r="409">
          <cell r="A409">
            <v>582001</v>
          </cell>
          <cell r="B409" t="str">
            <v>Viviendas</v>
          </cell>
          <cell r="C409" t="str">
            <v>S</v>
          </cell>
        </row>
        <row r="410">
          <cell r="A410">
            <v>583000</v>
          </cell>
          <cell r="B410" t="str">
            <v>Edificios no residenciales</v>
          </cell>
          <cell r="C410" t="str">
            <v>N</v>
          </cell>
        </row>
        <row r="411">
          <cell r="A411">
            <v>583001</v>
          </cell>
          <cell r="B411" t="str">
            <v>Edificios y locales</v>
          </cell>
          <cell r="C411" t="str">
            <v>S</v>
          </cell>
        </row>
        <row r="412">
          <cell r="A412">
            <v>589000</v>
          </cell>
          <cell r="B412" t="str">
            <v>Otros bienes inmuebles</v>
          </cell>
          <cell r="C412" t="str">
            <v>N</v>
          </cell>
        </row>
        <row r="413">
          <cell r="A413">
            <v>589001</v>
          </cell>
          <cell r="B413" t="str">
            <v>Adjudicaciones, expropiaciones e indemnizaciones de inmuebles</v>
          </cell>
          <cell r="C413" t="str">
            <v>S</v>
          </cell>
        </row>
        <row r="414">
          <cell r="A414">
            <v>590000</v>
          </cell>
          <cell r="B414" t="str">
            <v>ACTIVOS INTANGIBLES</v>
          </cell>
          <cell r="C414" t="str">
            <v>N</v>
          </cell>
        </row>
        <row r="415">
          <cell r="A415">
            <v>591000</v>
          </cell>
          <cell r="B415" t="str">
            <v>Software</v>
          </cell>
          <cell r="C415" t="str">
            <v>N</v>
          </cell>
        </row>
        <row r="416">
          <cell r="A416">
            <v>591001</v>
          </cell>
          <cell r="B416" t="str">
            <v>Software</v>
          </cell>
          <cell r="C416" t="str">
            <v>S</v>
          </cell>
        </row>
        <row r="417">
          <cell r="A417">
            <v>592000</v>
          </cell>
          <cell r="B417" t="str">
            <v>Patentes</v>
          </cell>
          <cell r="C417" t="str">
            <v>N</v>
          </cell>
        </row>
        <row r="418">
          <cell r="A418">
            <v>592001</v>
          </cell>
          <cell r="B418" t="str">
            <v>Patentes</v>
          </cell>
          <cell r="C418" t="str">
            <v>S</v>
          </cell>
        </row>
        <row r="419">
          <cell r="A419">
            <v>593000</v>
          </cell>
          <cell r="B419" t="str">
            <v>Marcas</v>
          </cell>
          <cell r="C419" t="str">
            <v>N</v>
          </cell>
        </row>
        <row r="420">
          <cell r="A420">
            <v>593001</v>
          </cell>
          <cell r="B420" t="str">
            <v>Marcas</v>
          </cell>
          <cell r="C420" t="str">
            <v>S</v>
          </cell>
        </row>
        <row r="421">
          <cell r="A421">
            <v>594000</v>
          </cell>
          <cell r="B421" t="str">
            <v>Derechos</v>
          </cell>
          <cell r="C421" t="str">
            <v>N</v>
          </cell>
        </row>
        <row r="422">
          <cell r="A422">
            <v>594001</v>
          </cell>
          <cell r="B422" t="str">
            <v>Derechos</v>
          </cell>
          <cell r="C422" t="str">
            <v>S</v>
          </cell>
        </row>
        <row r="423">
          <cell r="A423">
            <v>595000</v>
          </cell>
          <cell r="B423" t="str">
            <v>Concesiones</v>
          </cell>
          <cell r="C423" t="str">
            <v>N</v>
          </cell>
        </row>
        <row r="424">
          <cell r="A424">
            <v>595001</v>
          </cell>
          <cell r="B424" t="str">
            <v>Concesiones</v>
          </cell>
          <cell r="C424" t="str">
            <v>S</v>
          </cell>
        </row>
        <row r="425">
          <cell r="A425">
            <v>596000</v>
          </cell>
          <cell r="B425" t="str">
            <v>Franquicias</v>
          </cell>
          <cell r="C425" t="str">
            <v>N</v>
          </cell>
        </row>
        <row r="426">
          <cell r="A426">
            <v>596001</v>
          </cell>
          <cell r="B426" t="str">
            <v>Franquicias</v>
          </cell>
          <cell r="C426" t="str">
            <v>S</v>
          </cell>
        </row>
        <row r="427">
          <cell r="A427">
            <v>597000</v>
          </cell>
          <cell r="B427" t="str">
            <v>Licencias informáticas e intelectuales</v>
          </cell>
          <cell r="C427" t="str">
            <v>N</v>
          </cell>
        </row>
        <row r="428">
          <cell r="A428">
            <v>597001</v>
          </cell>
          <cell r="B428" t="str">
            <v>Licencias para programas de antivirus</v>
          </cell>
          <cell r="C428" t="str">
            <v>S</v>
          </cell>
        </row>
        <row r="429">
          <cell r="A429">
            <v>597002</v>
          </cell>
          <cell r="B429" t="str">
            <v>Licencias Microsoft Windows server 2003 edición estándar</v>
          </cell>
          <cell r="C429" t="str">
            <v>S</v>
          </cell>
        </row>
        <row r="430">
          <cell r="A430">
            <v>598000</v>
          </cell>
          <cell r="B430" t="str">
            <v>Licencias industriales, comerciales y otras</v>
          </cell>
          <cell r="C430" t="str">
            <v>N</v>
          </cell>
        </row>
        <row r="431">
          <cell r="A431">
            <v>598001</v>
          </cell>
          <cell r="B431" t="str">
            <v>Licencias industriales, comerciales y otras</v>
          </cell>
          <cell r="C431" t="str">
            <v>S</v>
          </cell>
        </row>
        <row r="432">
          <cell r="A432">
            <v>599000</v>
          </cell>
          <cell r="B432" t="str">
            <v>Otros activos intangibles</v>
          </cell>
          <cell r="C432" t="str">
            <v>N</v>
          </cell>
        </row>
        <row r="433">
          <cell r="A433">
            <v>599001</v>
          </cell>
          <cell r="B433" t="str">
            <v>Otros activos intangibles</v>
          </cell>
          <cell r="C433" t="str">
            <v>S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AAS"/>
      <sheetName val="CAPITULO"/>
      <sheetName val="PARTIDA"/>
      <sheetName val="COG"/>
      <sheetName val="CLAVES CUCOP"/>
      <sheetName val="CUCOP"/>
      <sheetName val="FF"/>
      <sheetName val="PROCED"/>
    </sheetNames>
    <sheetDataSet>
      <sheetData sheetId="0"/>
      <sheetData sheetId="1"/>
      <sheetData sheetId="2"/>
      <sheetData sheetId="3">
        <row r="1">
          <cell r="A1" t="str">
            <v>CUENTA</v>
          </cell>
          <cell r="B1" t="str">
            <v>CONCEPTO</v>
          </cell>
          <cell r="C1" t="str">
            <v>AFECTABLE/ NO
AFECTABLE</v>
          </cell>
        </row>
        <row r="2">
          <cell r="A2">
            <v>210000</v>
          </cell>
          <cell r="B2" t="str">
            <v>MATERIALES DE ADMINISTRACIÓN, EMISIÓN DE DOCUMENTOS Y ARTÍCULO OFICIALES</v>
          </cell>
          <cell r="C2" t="str">
            <v>N</v>
          </cell>
        </row>
        <row r="3">
          <cell r="A3">
            <v>211000</v>
          </cell>
          <cell r="B3" t="str">
            <v>Materiales, útiles y equipos menores de oficina</v>
          </cell>
          <cell r="C3" t="str">
            <v>N</v>
          </cell>
        </row>
        <row r="4">
          <cell r="A4">
            <v>211001</v>
          </cell>
          <cell r="B4" t="str">
            <v>Material de oficina</v>
          </cell>
          <cell r="C4" t="str">
            <v>S</v>
          </cell>
        </row>
        <row r="5">
          <cell r="A5">
            <v>212000</v>
          </cell>
          <cell r="B5" t="str">
            <v>Materiales y útiles de impresión y reproducción</v>
          </cell>
          <cell r="C5" t="str">
            <v>N</v>
          </cell>
        </row>
        <row r="6">
          <cell r="A6">
            <v>212001</v>
          </cell>
          <cell r="B6" t="str">
            <v>Material y útiles de impresión</v>
          </cell>
          <cell r="C6" t="str">
            <v>S</v>
          </cell>
        </row>
        <row r="7">
          <cell r="A7">
            <v>213000</v>
          </cell>
          <cell r="B7" t="str">
            <v>Material estadístico y geográfico</v>
          </cell>
          <cell r="C7" t="str">
            <v>N</v>
          </cell>
        </row>
        <row r="8">
          <cell r="A8">
            <v>213001</v>
          </cell>
          <cell r="B8" t="str">
            <v>Material estadístico y geográfico</v>
          </cell>
          <cell r="C8" t="str">
            <v>S</v>
          </cell>
        </row>
        <row r="9">
          <cell r="A9">
            <v>214000</v>
          </cell>
          <cell r="B9" t="str">
            <v>Materiales, útiles y equipos menores de tecnologías de la información y comunicaciones</v>
          </cell>
          <cell r="C9" t="str">
            <v>N</v>
          </cell>
        </row>
        <row r="10">
          <cell r="A10">
            <v>214001</v>
          </cell>
          <cell r="B10" t="str">
            <v>Materiales, útiles y equipos menores de tecnologías de la información y comunicaciones</v>
          </cell>
          <cell r="C10" t="str">
            <v>S</v>
          </cell>
        </row>
        <row r="11">
          <cell r="A11">
            <v>215000</v>
          </cell>
          <cell r="B11" t="str">
            <v>Material impreso e información digital</v>
          </cell>
          <cell r="C11" t="str">
            <v>N</v>
          </cell>
        </row>
        <row r="12">
          <cell r="A12">
            <v>215001</v>
          </cell>
          <cell r="B12" t="str">
            <v>Material didáctico</v>
          </cell>
          <cell r="C12" t="str">
            <v>S</v>
          </cell>
        </row>
        <row r="13">
          <cell r="A13">
            <v>215002</v>
          </cell>
          <cell r="B13" t="str">
            <v>Suscripciones a Periódicos, Revistas y Publicaciones Especializadas</v>
          </cell>
          <cell r="C13" t="str">
            <v>S</v>
          </cell>
        </row>
        <row r="14">
          <cell r="A14">
            <v>215003</v>
          </cell>
          <cell r="B14" t="str">
            <v>Material impreso e información digital</v>
          </cell>
          <cell r="C14" t="str">
            <v>S</v>
          </cell>
        </row>
        <row r="15">
          <cell r="A15">
            <v>216000</v>
          </cell>
          <cell r="B15" t="str">
            <v>Material de limpieza</v>
          </cell>
          <cell r="C15" t="str">
            <v>N</v>
          </cell>
        </row>
        <row r="16">
          <cell r="A16">
            <v>216001</v>
          </cell>
          <cell r="B16" t="str">
            <v>Material de limpieza</v>
          </cell>
          <cell r="C16" t="str">
            <v>S</v>
          </cell>
        </row>
        <row r="17">
          <cell r="A17">
            <v>217000</v>
          </cell>
          <cell r="B17" t="str">
            <v>Materiales y útiles de enseñanza</v>
          </cell>
          <cell r="C17" t="str">
            <v>N</v>
          </cell>
        </row>
        <row r="18">
          <cell r="A18">
            <v>217001</v>
          </cell>
          <cell r="B18" t="str">
            <v>Materiales y útiles de enseñanza</v>
          </cell>
          <cell r="C18" t="str">
            <v>S</v>
          </cell>
        </row>
        <row r="19">
          <cell r="A19">
            <v>218000</v>
          </cell>
          <cell r="B19" t="str">
            <v>Materiales para el registro e identificación de bienes y personas</v>
          </cell>
          <cell r="C19" t="str">
            <v>N</v>
          </cell>
        </row>
        <row r="20">
          <cell r="A20">
            <v>218001</v>
          </cell>
          <cell r="B20" t="str">
            <v>Materiales para el registro e identificación de bienes y personas</v>
          </cell>
          <cell r="C20" t="str">
            <v>S</v>
          </cell>
        </row>
        <row r="21">
          <cell r="A21">
            <v>218002</v>
          </cell>
          <cell r="B21" t="str">
            <v>Placas, Engomados, Calcomanías y Hologramas</v>
          </cell>
          <cell r="C21" t="str">
            <v>S</v>
          </cell>
        </row>
        <row r="22">
          <cell r="A22">
            <v>218003</v>
          </cell>
          <cell r="B22" t="str">
            <v>Emisión de Licencias de Conducir</v>
          </cell>
          <cell r="C22" t="str">
            <v>S</v>
          </cell>
        </row>
        <row r="23">
          <cell r="A23">
            <v>218004</v>
          </cell>
          <cell r="B23" t="str">
            <v>Emisión de Formatos Únicos de Control Vehicular</v>
          </cell>
          <cell r="C23" t="str">
            <v>S</v>
          </cell>
        </row>
        <row r="24">
          <cell r="A24">
            <v>220000</v>
          </cell>
          <cell r="B24" t="str">
            <v>ALIMENTOS Y UTENSILIOS</v>
          </cell>
          <cell r="C24" t="str">
            <v>N</v>
          </cell>
        </row>
        <row r="25">
          <cell r="A25">
            <v>221000</v>
          </cell>
          <cell r="B25" t="str">
            <v>Productos alimenticios para personas</v>
          </cell>
          <cell r="C25" t="str">
            <v>N</v>
          </cell>
        </row>
        <row r="26">
          <cell r="A26">
            <v>221001</v>
          </cell>
          <cell r="B26" t="str">
            <v>Alimentación de personas</v>
          </cell>
          <cell r="C26" t="str">
            <v>S</v>
          </cell>
        </row>
        <row r="27">
          <cell r="A27">
            <v>222000</v>
          </cell>
          <cell r="B27" t="str">
            <v>Productos alimenticios para animales</v>
          </cell>
          <cell r="C27" t="str">
            <v>N</v>
          </cell>
        </row>
        <row r="28">
          <cell r="A28">
            <v>222001</v>
          </cell>
          <cell r="B28" t="str">
            <v>Alimentación de animales</v>
          </cell>
          <cell r="C28" t="str">
            <v>S</v>
          </cell>
        </row>
        <row r="29">
          <cell r="A29">
            <v>223000</v>
          </cell>
          <cell r="B29" t="str">
            <v>Utensilios para el servicio de alimentación</v>
          </cell>
          <cell r="C29" t="str">
            <v>N</v>
          </cell>
        </row>
        <row r="30">
          <cell r="A30">
            <v>223001</v>
          </cell>
          <cell r="B30" t="str">
            <v>Utensilios para el servicio de alimentación</v>
          </cell>
          <cell r="C30" t="str">
            <v>S</v>
          </cell>
        </row>
        <row r="31">
          <cell r="A31">
            <v>230000</v>
          </cell>
          <cell r="B31" t="str">
            <v>MATERIAS PRIMAS Y MATERIALES DE PRODUCCIÓN Y COMERCIALIZACIÓN</v>
          </cell>
          <cell r="C31" t="str">
            <v>N</v>
          </cell>
        </row>
        <row r="32">
          <cell r="A32">
            <v>231000</v>
          </cell>
          <cell r="B32" t="str">
            <v>Productos alimenticios, agropecuarios y forestales adquiridos como materia prima</v>
          </cell>
          <cell r="C32" t="str">
            <v>N</v>
          </cell>
        </row>
        <row r="33">
          <cell r="A33">
            <v>231001</v>
          </cell>
          <cell r="B33" t="str">
            <v>Materias primas para producción</v>
          </cell>
          <cell r="C33" t="str">
            <v>S</v>
          </cell>
        </row>
        <row r="34">
          <cell r="A34">
            <v>232000</v>
          </cell>
          <cell r="B34" t="str">
            <v>Insumos textiles adquiridos como materia prima</v>
          </cell>
          <cell r="C34" t="str">
            <v>N</v>
          </cell>
        </row>
        <row r="35">
          <cell r="A35">
            <v>232001</v>
          </cell>
          <cell r="B35" t="str">
            <v>Insumos textiles adquiridos como materia prima</v>
          </cell>
          <cell r="C35" t="str">
            <v>S</v>
          </cell>
        </row>
        <row r="36">
          <cell r="A36">
            <v>233000</v>
          </cell>
          <cell r="B36" t="str">
            <v>Productos de papel, cartón e impresos adquiridos como materia prima</v>
          </cell>
          <cell r="C36" t="str">
            <v>N</v>
          </cell>
        </row>
        <row r="37">
          <cell r="A37">
            <v>233001</v>
          </cell>
          <cell r="B37" t="str">
            <v>Productos de papel, cartón e impresos adquiridos como materia prima</v>
          </cell>
          <cell r="C37" t="str">
            <v>S</v>
          </cell>
        </row>
        <row r="38">
          <cell r="A38">
            <v>234000</v>
          </cell>
          <cell r="B38" t="str">
            <v>Combustibles, lubricantes, aditivos, carbón y sus derivados adquiridos como materia prima</v>
          </cell>
          <cell r="C38" t="str">
            <v>N</v>
          </cell>
        </row>
        <row r="39">
          <cell r="A39">
            <v>234001</v>
          </cell>
          <cell r="B39" t="str">
            <v>Combustibles, lubricantes, aditivos, carbón y sus derivados adquiridos como materia prima</v>
          </cell>
          <cell r="C39" t="str">
            <v>S</v>
          </cell>
        </row>
        <row r="40">
          <cell r="A40">
            <v>235000</v>
          </cell>
          <cell r="B40" t="str">
            <v>Productos químicos, farmacéuticos y de laboratorio adquiridos como materia prima</v>
          </cell>
          <cell r="C40" t="str">
            <v>N</v>
          </cell>
        </row>
        <row r="41">
          <cell r="A41">
            <v>235001</v>
          </cell>
          <cell r="B41" t="str">
            <v>Productos químicos, farmacéuticos y de laboratorio adquiridos como materia prima</v>
          </cell>
          <cell r="C41" t="str">
            <v>S</v>
          </cell>
        </row>
        <row r="42">
          <cell r="A42">
            <v>236000</v>
          </cell>
          <cell r="B42" t="str">
            <v>Productos metálicos y a base de minerales no metálicos adquiridos como materia prima</v>
          </cell>
          <cell r="C42" t="str">
            <v>N</v>
          </cell>
        </row>
        <row r="43">
          <cell r="A43">
            <v>236001</v>
          </cell>
          <cell r="B43" t="str">
            <v>Productos metálicos y a base de minerales no metálicos adquiridos como materia prima</v>
          </cell>
          <cell r="C43" t="str">
            <v>S</v>
          </cell>
        </row>
        <row r="44">
          <cell r="A44">
            <v>237000</v>
          </cell>
          <cell r="B44" t="str">
            <v>Productos de cuero, piel, plástico y hule adquiridos como materia prima</v>
          </cell>
          <cell r="C44" t="str">
            <v>N</v>
          </cell>
        </row>
        <row r="45">
          <cell r="A45">
            <v>237001</v>
          </cell>
          <cell r="B45" t="str">
            <v>Productos de cuero, piel, plástico y hule adquiridos como materia prima</v>
          </cell>
          <cell r="C45" t="str">
            <v>S</v>
          </cell>
        </row>
        <row r="46">
          <cell r="A46">
            <v>238000</v>
          </cell>
          <cell r="B46" t="str">
            <v>Mercancías adquiridas para su comercialización</v>
          </cell>
          <cell r="C46" t="str">
            <v>N</v>
          </cell>
        </row>
        <row r="47">
          <cell r="A47">
            <v>238001</v>
          </cell>
          <cell r="B47" t="str">
            <v>Mercancías adquiridas para su comercialización</v>
          </cell>
          <cell r="C47" t="str">
            <v>S</v>
          </cell>
        </row>
        <row r="48">
          <cell r="A48">
            <v>240000</v>
          </cell>
          <cell r="B48" t="str">
            <v>MATERIALES Y ARTÍCULOS DE CONSTRUCCIÓN Y DE REPARACIÓN</v>
          </cell>
          <cell r="C48" t="str">
            <v>N</v>
          </cell>
        </row>
        <row r="49">
          <cell r="A49">
            <v>241000</v>
          </cell>
          <cell r="B49" t="str">
            <v>Productos minerales no metálicos</v>
          </cell>
          <cell r="C49" t="str">
            <v>N</v>
          </cell>
        </row>
        <row r="50">
          <cell r="A50">
            <v>241001</v>
          </cell>
          <cell r="B50" t="str">
            <v>Productos minerales no metálicos</v>
          </cell>
          <cell r="C50" t="str">
            <v>S</v>
          </cell>
        </row>
        <row r="51">
          <cell r="A51">
            <v>242000</v>
          </cell>
          <cell r="B51" t="str">
            <v>Cemento y productos de concreto</v>
          </cell>
          <cell r="C51" t="str">
            <v>N</v>
          </cell>
        </row>
        <row r="52">
          <cell r="A52">
            <v>242001</v>
          </cell>
          <cell r="B52" t="str">
            <v>Cemento y productos de concreto</v>
          </cell>
          <cell r="C52" t="str">
            <v>S</v>
          </cell>
        </row>
        <row r="53">
          <cell r="A53">
            <v>243000</v>
          </cell>
          <cell r="B53" t="str">
            <v>Cal, yeso y productos de yeso</v>
          </cell>
          <cell r="C53" t="str">
            <v>N</v>
          </cell>
        </row>
        <row r="54">
          <cell r="A54">
            <v>243001</v>
          </cell>
          <cell r="B54" t="str">
            <v>Cal, yeso y productos de yeso</v>
          </cell>
          <cell r="C54" t="str">
            <v>S</v>
          </cell>
        </row>
        <row r="55">
          <cell r="A55">
            <v>244000</v>
          </cell>
          <cell r="B55" t="str">
            <v>Madera y productos de madera</v>
          </cell>
          <cell r="C55" t="str">
            <v>N</v>
          </cell>
        </row>
        <row r="56">
          <cell r="A56">
            <v>244001</v>
          </cell>
          <cell r="B56" t="str">
            <v>Madera y productos de madera</v>
          </cell>
          <cell r="C56" t="str">
            <v>S</v>
          </cell>
        </row>
        <row r="57">
          <cell r="A57">
            <v>245000</v>
          </cell>
          <cell r="B57" t="str">
            <v>Vidrio y productos de vidrio</v>
          </cell>
          <cell r="C57" t="str">
            <v>N</v>
          </cell>
        </row>
        <row r="58">
          <cell r="A58">
            <v>245001</v>
          </cell>
          <cell r="B58" t="str">
            <v>Vidrio y productos de vidrio</v>
          </cell>
          <cell r="C58" t="str">
            <v>S</v>
          </cell>
        </row>
        <row r="59">
          <cell r="A59">
            <v>246000</v>
          </cell>
          <cell r="B59" t="str">
            <v>Material eléctrico y electrónico</v>
          </cell>
          <cell r="C59" t="str">
            <v>N</v>
          </cell>
        </row>
        <row r="60">
          <cell r="A60">
            <v>246001</v>
          </cell>
          <cell r="B60" t="str">
            <v>Material eléctrico</v>
          </cell>
          <cell r="C60" t="str">
            <v>S</v>
          </cell>
        </row>
        <row r="61">
          <cell r="A61">
            <v>246002</v>
          </cell>
          <cell r="B61" t="str">
            <v>Material electrónico</v>
          </cell>
          <cell r="C61" t="str">
            <v>S</v>
          </cell>
        </row>
        <row r="62">
          <cell r="A62">
            <v>247000</v>
          </cell>
          <cell r="B62" t="str">
            <v>Artículos metálicos para la construcción</v>
          </cell>
          <cell r="C62" t="str">
            <v>N</v>
          </cell>
        </row>
        <row r="63">
          <cell r="A63">
            <v>247001</v>
          </cell>
          <cell r="B63" t="str">
            <v>Artículos metálicos para la construcción</v>
          </cell>
          <cell r="C63" t="str">
            <v>S</v>
          </cell>
        </row>
        <row r="64">
          <cell r="A64">
            <v>248000</v>
          </cell>
          <cell r="B64" t="str">
            <v>Materiales complementarios</v>
          </cell>
          <cell r="C64" t="str">
            <v>N</v>
          </cell>
        </row>
        <row r="65">
          <cell r="A65">
            <v>248001</v>
          </cell>
          <cell r="B65" t="str">
            <v>Materiales complementarios</v>
          </cell>
          <cell r="C65" t="str">
            <v>S</v>
          </cell>
        </row>
        <row r="66">
          <cell r="A66">
            <v>249000</v>
          </cell>
          <cell r="B66" t="str">
            <v>Otros materiales y artículos de construcción y reparación</v>
          </cell>
          <cell r="C66" t="str">
            <v>N</v>
          </cell>
        </row>
        <row r="67">
          <cell r="A67">
            <v>249001</v>
          </cell>
          <cell r="B67" t="str">
            <v>Materiales de construcción y complementarios</v>
          </cell>
          <cell r="C67" t="str">
            <v>S</v>
          </cell>
        </row>
        <row r="68">
          <cell r="A68">
            <v>249002</v>
          </cell>
          <cell r="B68" t="str">
            <v>Otros materiales de construcción y reparación</v>
          </cell>
          <cell r="C68" t="str">
            <v>S</v>
          </cell>
        </row>
        <row r="69">
          <cell r="A69">
            <v>250000</v>
          </cell>
          <cell r="B69" t="str">
            <v>PRODUCTOS QUÍMICOS, FARMACÉUTICOS Y DE LABORATORIO</v>
          </cell>
          <cell r="C69" t="str">
            <v>N</v>
          </cell>
        </row>
        <row r="70">
          <cell r="A70">
            <v>251000</v>
          </cell>
          <cell r="B70" t="str">
            <v>Productos químicos básicos</v>
          </cell>
          <cell r="C70" t="str">
            <v>N</v>
          </cell>
        </row>
        <row r="71">
          <cell r="A71">
            <v>251001</v>
          </cell>
          <cell r="B71" t="str">
            <v>Gas Refrigerante</v>
          </cell>
          <cell r="C71" t="str">
            <v>S</v>
          </cell>
        </row>
        <row r="72">
          <cell r="A72">
            <v>252000</v>
          </cell>
          <cell r="B72" t="str">
            <v>Fertilizantes, pesticidas y otros agroquímicos</v>
          </cell>
          <cell r="C72" t="str">
            <v>N</v>
          </cell>
        </row>
        <row r="73">
          <cell r="A73">
            <v>252001</v>
          </cell>
          <cell r="B73" t="str">
            <v>Fertilizantes, pesticidas y otros agroquímicos</v>
          </cell>
          <cell r="C73" t="str">
            <v>S</v>
          </cell>
        </row>
        <row r="74">
          <cell r="A74">
            <v>253000</v>
          </cell>
          <cell r="B74" t="str">
            <v>Medicinas y productos químicos, farmacéuticos</v>
          </cell>
          <cell r="C74" t="str">
            <v>N</v>
          </cell>
        </row>
        <row r="75">
          <cell r="A75">
            <v>253001</v>
          </cell>
          <cell r="B75" t="str">
            <v>Material y productos químicos, farmacéuticos</v>
          </cell>
          <cell r="C75" t="str">
            <v>S</v>
          </cell>
        </row>
        <row r="76">
          <cell r="A76">
            <v>254000</v>
          </cell>
          <cell r="B76" t="str">
            <v>Materiales, accesorios y suministros médicos</v>
          </cell>
          <cell r="C76" t="str">
            <v>N</v>
          </cell>
        </row>
        <row r="77">
          <cell r="A77">
            <v>254001</v>
          </cell>
          <cell r="B77" t="str">
            <v>Materiales, accesorios y suministros médicos</v>
          </cell>
          <cell r="C77" t="str">
            <v>S</v>
          </cell>
        </row>
        <row r="78">
          <cell r="A78">
            <v>255000</v>
          </cell>
          <cell r="B78" t="str">
            <v>Materiales, accesorios y suministros de laboratorio</v>
          </cell>
          <cell r="C78" t="str">
            <v>N</v>
          </cell>
        </row>
        <row r="79">
          <cell r="A79">
            <v>255001</v>
          </cell>
          <cell r="B79" t="str">
            <v>Materiales, accesorios y suministros de laboratorio</v>
          </cell>
          <cell r="C79" t="str">
            <v>S</v>
          </cell>
        </row>
        <row r="80">
          <cell r="A80">
            <v>256000</v>
          </cell>
          <cell r="B80" t="str">
            <v>Fibras sintéticas, hules, plásticos y derivados</v>
          </cell>
          <cell r="C80" t="str">
            <v>N</v>
          </cell>
        </row>
        <row r="81">
          <cell r="A81">
            <v>256001</v>
          </cell>
          <cell r="B81" t="str">
            <v>Fibras sintéticas, hules, plásticos y derivados</v>
          </cell>
          <cell r="C81" t="str">
            <v>S</v>
          </cell>
        </row>
        <row r="82">
          <cell r="A82">
            <v>259000</v>
          </cell>
          <cell r="B82" t="str">
            <v>Otros productos químicos</v>
          </cell>
          <cell r="C82" t="str">
            <v>N</v>
          </cell>
        </row>
        <row r="83">
          <cell r="A83">
            <v>259001</v>
          </cell>
          <cell r="B83" t="str">
            <v>Otros productos químicos</v>
          </cell>
          <cell r="C83" t="str">
            <v>S</v>
          </cell>
        </row>
        <row r="84">
          <cell r="A84">
            <v>260000</v>
          </cell>
          <cell r="B84" t="str">
            <v>COMBUSTIBLES, LUBRICANTES Y ADITIVOS</v>
          </cell>
          <cell r="C84" t="str">
            <v>N</v>
          </cell>
        </row>
        <row r="85">
          <cell r="A85">
            <v>261000</v>
          </cell>
          <cell r="B85" t="str">
            <v>Combustibles, lubricantes y aditivos</v>
          </cell>
          <cell r="C85" t="str">
            <v>N</v>
          </cell>
        </row>
        <row r="86">
          <cell r="A86">
            <v>261001</v>
          </cell>
          <cell r="B86" t="str">
            <v>Combustibles</v>
          </cell>
          <cell r="C86" t="str">
            <v>S</v>
          </cell>
        </row>
        <row r="87">
          <cell r="A87">
            <v>261002</v>
          </cell>
          <cell r="B87" t="str">
            <v>Lubricantes y aditivos</v>
          </cell>
          <cell r="C87" t="str">
            <v>S</v>
          </cell>
        </row>
        <row r="88">
          <cell r="A88">
            <v>262000</v>
          </cell>
          <cell r="B88" t="str">
            <v>Carbón y sus derivados</v>
          </cell>
          <cell r="C88" t="str">
            <v>N</v>
          </cell>
        </row>
        <row r="89">
          <cell r="A89">
            <v>262001</v>
          </cell>
          <cell r="B89" t="str">
            <v>Carbón y sus derivados</v>
          </cell>
          <cell r="C89" t="str">
            <v>S</v>
          </cell>
        </row>
        <row r="90">
          <cell r="A90">
            <v>270000</v>
          </cell>
          <cell r="B90" t="str">
            <v>VESTUARIO, BLANCOS, PRENDAS DE PROTECCIÓN Y ARTÍCULOS DEPORTIVOS</v>
          </cell>
          <cell r="C90" t="str">
            <v>N</v>
          </cell>
        </row>
        <row r="91">
          <cell r="A91">
            <v>271000</v>
          </cell>
          <cell r="B91" t="str">
            <v>Vestuario y uniformes</v>
          </cell>
          <cell r="C91" t="str">
            <v>N</v>
          </cell>
        </row>
        <row r="92">
          <cell r="A92">
            <v>271001</v>
          </cell>
          <cell r="B92" t="str">
            <v>Ropa, vestuario y equipo</v>
          </cell>
          <cell r="C92" t="str">
            <v>S</v>
          </cell>
        </row>
        <row r="93">
          <cell r="A93">
            <v>272000</v>
          </cell>
          <cell r="B93" t="str">
            <v>Prendas de seguridad y protección personal</v>
          </cell>
          <cell r="C93" t="str">
            <v>N</v>
          </cell>
        </row>
        <row r="94">
          <cell r="A94">
            <v>272001</v>
          </cell>
          <cell r="B94" t="str">
            <v>Materiales explosivos y de seguridad pública</v>
          </cell>
          <cell r="C94" t="str">
            <v>S</v>
          </cell>
        </row>
        <row r="95">
          <cell r="A95">
            <v>272002</v>
          </cell>
          <cell r="B95" t="str">
            <v>Prendas de seguridad y protección personal</v>
          </cell>
          <cell r="C95" t="str">
            <v>S</v>
          </cell>
        </row>
        <row r="96">
          <cell r="A96">
            <v>273000</v>
          </cell>
          <cell r="B96" t="str">
            <v>Artículos deportivos</v>
          </cell>
          <cell r="C96" t="str">
            <v>N</v>
          </cell>
        </row>
        <row r="97">
          <cell r="A97">
            <v>273001</v>
          </cell>
          <cell r="B97" t="str">
            <v>Artículos deportivos</v>
          </cell>
          <cell r="C97" t="str">
            <v>S</v>
          </cell>
        </row>
        <row r="98">
          <cell r="A98">
            <v>274000</v>
          </cell>
          <cell r="B98" t="str">
            <v>Productos textiles</v>
          </cell>
          <cell r="C98" t="str">
            <v>N</v>
          </cell>
        </row>
        <row r="99">
          <cell r="A99">
            <v>274001</v>
          </cell>
          <cell r="B99" t="str">
            <v>Productos textiles</v>
          </cell>
          <cell r="C99" t="str">
            <v>S</v>
          </cell>
        </row>
        <row r="100">
          <cell r="A100">
            <v>275000</v>
          </cell>
          <cell r="B100" t="str">
            <v>Blancos y otros productos textiles, excepto prendas de vestir</v>
          </cell>
          <cell r="C100" t="str">
            <v>N</v>
          </cell>
        </row>
        <row r="101">
          <cell r="A101">
            <v>275001</v>
          </cell>
          <cell r="B101" t="str">
            <v>Blancos y otros productos textiles, excepto prendas de vestir</v>
          </cell>
          <cell r="C101" t="str">
            <v>S</v>
          </cell>
        </row>
        <row r="102">
          <cell r="A102">
            <v>280000</v>
          </cell>
          <cell r="B102" t="str">
            <v>MATERIALES Y SUMINISTROS PARA SEGURIDAD</v>
          </cell>
          <cell r="C102" t="str">
            <v>N</v>
          </cell>
        </row>
        <row r="103">
          <cell r="A103">
            <v>281000</v>
          </cell>
          <cell r="B103" t="str">
            <v>Sustancias y materiales explosivos</v>
          </cell>
          <cell r="C103" t="str">
            <v>N</v>
          </cell>
        </row>
        <row r="104">
          <cell r="A104">
            <v>281001</v>
          </cell>
          <cell r="B104" t="str">
            <v>Sustancias y materiales explosivos</v>
          </cell>
          <cell r="C104" t="str">
            <v>S</v>
          </cell>
        </row>
        <row r="105">
          <cell r="A105">
            <v>282000</v>
          </cell>
          <cell r="B105" t="str">
            <v>Materiales de seguridad pública</v>
          </cell>
          <cell r="C105" t="str">
            <v>N</v>
          </cell>
        </row>
        <row r="106">
          <cell r="A106">
            <v>282001</v>
          </cell>
          <cell r="B106" t="str">
            <v>Materiales de seguridad pública</v>
          </cell>
          <cell r="C106" t="str">
            <v>S</v>
          </cell>
        </row>
        <row r="107">
          <cell r="A107">
            <v>283000</v>
          </cell>
          <cell r="B107" t="str">
            <v>Prendas de protección para seguridad pública y nacional</v>
          </cell>
          <cell r="C107" t="str">
            <v>N</v>
          </cell>
        </row>
        <row r="108">
          <cell r="A108">
            <v>283001</v>
          </cell>
          <cell r="B108" t="str">
            <v>Prendas de protección para seguridad pública</v>
          </cell>
          <cell r="C108" t="str">
            <v>S</v>
          </cell>
        </row>
        <row r="109">
          <cell r="A109">
            <v>290000</v>
          </cell>
          <cell r="B109" t="str">
            <v>HERRAMIENTAS, REFACCIONES Y ACCESORIOS MENORES</v>
          </cell>
          <cell r="C109" t="str">
            <v>N</v>
          </cell>
        </row>
        <row r="110">
          <cell r="A110">
            <v>291000</v>
          </cell>
          <cell r="B110" t="str">
            <v>Herramientas menores</v>
          </cell>
          <cell r="C110" t="str">
            <v>N</v>
          </cell>
        </row>
        <row r="111">
          <cell r="A111">
            <v>291001</v>
          </cell>
          <cell r="B111" t="str">
            <v>Herramientas Auxiliares de Trabajo</v>
          </cell>
          <cell r="C111" t="str">
            <v>S</v>
          </cell>
        </row>
        <row r="112">
          <cell r="A112">
            <v>292000</v>
          </cell>
          <cell r="B112" t="str">
            <v>Refacciones y accesorios menores de edificios</v>
          </cell>
          <cell r="C112" t="str">
            <v>N</v>
          </cell>
        </row>
        <row r="113">
          <cell r="A113">
            <v>292001</v>
          </cell>
          <cell r="B113" t="str">
            <v>Refacciones y accesorios menores de edificios (candados, cerraduras, chapas, llaves)</v>
          </cell>
          <cell r="C113" t="str">
            <v>S</v>
          </cell>
        </row>
        <row r="114">
          <cell r="A114">
            <v>293000</v>
          </cell>
          <cell r="B114" t="str">
            <v>Refacciones y accesorios menores de mobiliario y equipo de administración, educacional y recreativo</v>
          </cell>
          <cell r="C114" t="str">
            <v>N</v>
          </cell>
        </row>
        <row r="115">
          <cell r="A115">
            <v>293001</v>
          </cell>
          <cell r="B115" t="str">
            <v>Refacciones y accesorios menores de mobiliario y equipo de administración, educacional y recreativo</v>
          </cell>
          <cell r="C115" t="str">
            <v>S</v>
          </cell>
        </row>
        <row r="116">
          <cell r="A116">
            <v>294000</v>
          </cell>
          <cell r="B116" t="str">
            <v>Refacciones y accesorios menores de equipo de cómputo y tecnologías de la información</v>
          </cell>
          <cell r="C116" t="str">
            <v>N</v>
          </cell>
        </row>
        <row r="117">
          <cell r="A117">
            <v>294001</v>
          </cell>
          <cell r="B117" t="str">
            <v>Dispositivos Internos y Externos de Equipo de Computo</v>
          </cell>
          <cell r="C117" t="str">
            <v>S</v>
          </cell>
        </row>
        <row r="118">
          <cell r="A118">
            <v>294002</v>
          </cell>
          <cell r="B118" t="str">
            <v>Refacciones y Accesorios Menores de Equipo de Computo</v>
          </cell>
          <cell r="C118" t="str">
            <v>S</v>
          </cell>
        </row>
        <row r="119">
          <cell r="A119">
            <v>295000</v>
          </cell>
          <cell r="B119" t="str">
            <v>Refacciones y accesorios menores de equipo e instrumental médico y de laboratorio</v>
          </cell>
          <cell r="C119" t="str">
            <v>N</v>
          </cell>
        </row>
        <row r="120">
          <cell r="A120">
            <v>295001</v>
          </cell>
          <cell r="B120" t="str">
            <v>Refacciones y accesorios menores de equipo e instrumental médico y de laboratorio</v>
          </cell>
          <cell r="C120" t="str">
            <v>S</v>
          </cell>
        </row>
        <row r="121">
          <cell r="A121">
            <v>296000</v>
          </cell>
          <cell r="B121" t="str">
            <v>Refacciones y accesorios menores de equipo de transporte</v>
          </cell>
          <cell r="C121" t="str">
            <v>N</v>
          </cell>
        </row>
        <row r="122">
          <cell r="A122">
            <v>296001</v>
          </cell>
          <cell r="B122" t="str">
            <v>Herramientas, refacciones y accesorios</v>
          </cell>
          <cell r="C122" t="str">
            <v>S</v>
          </cell>
        </row>
        <row r="123">
          <cell r="A123">
            <v>297000</v>
          </cell>
          <cell r="B123" t="str">
            <v>Refacciones y accesorios menores de equipo de defensa y seguridad</v>
          </cell>
          <cell r="C123" t="str">
            <v>N</v>
          </cell>
        </row>
        <row r="124">
          <cell r="A124">
            <v>297001</v>
          </cell>
          <cell r="B124" t="str">
            <v>Refacciones y accesorios menores de equipo de defensa y seguridad</v>
          </cell>
          <cell r="C124" t="str">
            <v>S</v>
          </cell>
        </row>
        <row r="125">
          <cell r="A125">
            <v>298000</v>
          </cell>
          <cell r="B125" t="str">
            <v>Refacciones y accesorios menores de maquinaria y otros equipos</v>
          </cell>
          <cell r="C125" t="str">
            <v>N</v>
          </cell>
        </row>
        <row r="126">
          <cell r="A126">
            <v>298001</v>
          </cell>
          <cell r="B126" t="str">
            <v>Refacciones y accesorios menores de maquinaria y otros equipos</v>
          </cell>
          <cell r="C126" t="str">
            <v>S</v>
          </cell>
        </row>
        <row r="127">
          <cell r="A127">
            <v>299000</v>
          </cell>
          <cell r="B127" t="str">
            <v>Refacciones y accesorios menores otros bienes muebles</v>
          </cell>
          <cell r="C127" t="str">
            <v>N</v>
          </cell>
        </row>
        <row r="128">
          <cell r="A128">
            <v>299001</v>
          </cell>
          <cell r="B128" t="str">
            <v>Refacciones y accesorios menores otros bienes muebles</v>
          </cell>
          <cell r="C128" t="str">
            <v>S</v>
          </cell>
        </row>
        <row r="129">
          <cell r="A129">
            <v>300000</v>
          </cell>
          <cell r="B129" t="str">
            <v>SERVICIOS GENERALES</v>
          </cell>
          <cell r="C129" t="str">
            <v>N</v>
          </cell>
        </row>
        <row r="130">
          <cell r="A130">
            <v>310000</v>
          </cell>
          <cell r="B130" t="str">
            <v>SERVICIOS BÁSICOS</v>
          </cell>
          <cell r="C130" t="str">
            <v>N</v>
          </cell>
        </row>
        <row r="131">
          <cell r="A131">
            <v>311000</v>
          </cell>
          <cell r="B131" t="str">
            <v>Energía eléctrica</v>
          </cell>
          <cell r="C131" t="str">
            <v>N</v>
          </cell>
        </row>
        <row r="132">
          <cell r="A132">
            <v>311001</v>
          </cell>
          <cell r="B132" t="str">
            <v>Servicio de energía eléctrica</v>
          </cell>
          <cell r="C132" t="str">
            <v>S</v>
          </cell>
        </row>
        <row r="133">
          <cell r="A133">
            <v>311002</v>
          </cell>
          <cell r="B133" t="str">
            <v>Contratación del servicio de energía eléctrica</v>
          </cell>
          <cell r="C133" t="str">
            <v>S</v>
          </cell>
        </row>
        <row r="134">
          <cell r="A134">
            <v>312000</v>
          </cell>
          <cell r="B134" t="str">
            <v>Gas</v>
          </cell>
          <cell r="C134" t="str">
            <v>N</v>
          </cell>
        </row>
        <row r="135">
          <cell r="A135">
            <v>312001</v>
          </cell>
          <cell r="B135" t="str">
            <v>Servicio de Gas L.P.</v>
          </cell>
          <cell r="C135" t="str">
            <v>S</v>
          </cell>
        </row>
        <row r="136">
          <cell r="A136">
            <v>313000</v>
          </cell>
          <cell r="B136" t="str">
            <v>Agua</v>
          </cell>
          <cell r="C136" t="str">
            <v>N</v>
          </cell>
        </row>
        <row r="137">
          <cell r="A137">
            <v>313001</v>
          </cell>
          <cell r="B137" t="str">
            <v>Servicio de agua potable</v>
          </cell>
          <cell r="C137" t="str">
            <v>S</v>
          </cell>
        </row>
        <row r="138">
          <cell r="A138">
            <v>313002</v>
          </cell>
          <cell r="B138" t="str">
            <v>Contratación del servicio de agua potable</v>
          </cell>
          <cell r="C138" t="str">
            <v>S</v>
          </cell>
        </row>
        <row r="139">
          <cell r="A139">
            <v>314000</v>
          </cell>
          <cell r="B139" t="str">
            <v>Telefonía tradicional</v>
          </cell>
          <cell r="C139" t="str">
            <v>N</v>
          </cell>
        </row>
        <row r="140">
          <cell r="A140">
            <v>314001</v>
          </cell>
          <cell r="B140" t="str">
            <v>Servicio telefónico</v>
          </cell>
          <cell r="C140" t="str">
            <v>S</v>
          </cell>
        </row>
        <row r="141">
          <cell r="A141">
            <v>315000</v>
          </cell>
          <cell r="B141" t="str">
            <v>Telefonía celular</v>
          </cell>
          <cell r="C141" t="str">
            <v>N</v>
          </cell>
        </row>
        <row r="142">
          <cell r="A142">
            <v>315001</v>
          </cell>
          <cell r="B142" t="str">
            <v>Telefonía celular</v>
          </cell>
          <cell r="C142" t="str">
            <v>S</v>
          </cell>
        </row>
        <row r="143">
          <cell r="A143">
            <v>316000</v>
          </cell>
          <cell r="B143" t="str">
            <v>Servicios de telecomunicaciones y satélites</v>
          </cell>
          <cell r="C143" t="str">
            <v>N</v>
          </cell>
        </row>
        <row r="144">
          <cell r="A144">
            <v>316001</v>
          </cell>
          <cell r="B144" t="str">
            <v>Servicios de telecomunicaciones y satélites</v>
          </cell>
          <cell r="C144" t="str">
            <v>S</v>
          </cell>
        </row>
        <row r="145">
          <cell r="A145">
            <v>317000</v>
          </cell>
          <cell r="B145" t="str">
            <v>Servicios de acceso de Internet, redes y procesamiento de información</v>
          </cell>
          <cell r="C145" t="str">
            <v>N</v>
          </cell>
        </row>
        <row r="146">
          <cell r="A146">
            <v>317001</v>
          </cell>
          <cell r="B146" t="str">
            <v>Servicios de acceso de Internet, redes y procesamiento de información</v>
          </cell>
          <cell r="C146" t="str">
            <v>S</v>
          </cell>
        </row>
        <row r="147">
          <cell r="A147">
            <v>318000</v>
          </cell>
          <cell r="B147" t="str">
            <v>Servicios postales y telegráficos</v>
          </cell>
          <cell r="C147" t="str">
            <v>N</v>
          </cell>
        </row>
        <row r="148">
          <cell r="A148">
            <v>318001</v>
          </cell>
          <cell r="B148" t="str">
            <v>Servicio postal y telegráfico</v>
          </cell>
          <cell r="C148" t="str">
            <v>S</v>
          </cell>
        </row>
        <row r="149">
          <cell r="A149">
            <v>319000</v>
          </cell>
          <cell r="B149" t="str">
            <v>Servicios integrales y otros servicios</v>
          </cell>
          <cell r="C149" t="str">
            <v>N</v>
          </cell>
        </row>
        <row r="150">
          <cell r="A150">
            <v>319001</v>
          </cell>
          <cell r="B150" t="str">
            <v>Servicios Integrales</v>
          </cell>
          <cell r="C150" t="str">
            <v>S</v>
          </cell>
        </row>
        <row r="151">
          <cell r="A151">
            <v>320000</v>
          </cell>
          <cell r="B151" t="str">
            <v>SERVICIOS DE ARRENDAMIENTO</v>
          </cell>
          <cell r="C151" t="str">
            <v>N</v>
          </cell>
        </row>
        <row r="152">
          <cell r="A152">
            <v>321000</v>
          </cell>
          <cell r="B152" t="str">
            <v>Arrendamiento de terrenos</v>
          </cell>
          <cell r="C152" t="str">
            <v>N</v>
          </cell>
        </row>
        <row r="153">
          <cell r="A153">
            <v>321001</v>
          </cell>
          <cell r="B153" t="str">
            <v>Arrendamiento de terrenos</v>
          </cell>
          <cell r="C153" t="str">
            <v>S</v>
          </cell>
        </row>
        <row r="154">
          <cell r="A154">
            <v>322000</v>
          </cell>
          <cell r="B154" t="str">
            <v>Arrendamiento de edificios</v>
          </cell>
          <cell r="C154" t="str">
            <v>N</v>
          </cell>
        </row>
        <row r="155">
          <cell r="A155">
            <v>322001</v>
          </cell>
          <cell r="B155" t="str">
            <v>Arrendamiento de edificios</v>
          </cell>
          <cell r="C155" t="str">
            <v>S</v>
          </cell>
        </row>
        <row r="156">
          <cell r="A156">
            <v>323000</v>
          </cell>
          <cell r="B156" t="str">
            <v>Arrendamiento de mobiliario y equipo de administración, educacional y recreativo</v>
          </cell>
          <cell r="C156" t="str">
            <v>N</v>
          </cell>
        </row>
        <row r="157">
          <cell r="A157">
            <v>323001</v>
          </cell>
          <cell r="B157" t="str">
            <v>Arrendamiento de maquinaria y equipo</v>
          </cell>
          <cell r="C157" t="str">
            <v>S</v>
          </cell>
        </row>
        <row r="158">
          <cell r="A158">
            <v>323002</v>
          </cell>
          <cell r="B158" t="str">
            <v>Arrendamiento de maquinaria y equipo de Administración</v>
          </cell>
          <cell r="C158" t="str">
            <v>S</v>
          </cell>
        </row>
        <row r="159">
          <cell r="A159">
            <v>323003</v>
          </cell>
          <cell r="B159" t="str">
            <v>Arrendamiento de Equipo Educacional y Recreativo</v>
          </cell>
          <cell r="C159" t="str">
            <v>S</v>
          </cell>
        </row>
        <row r="160">
          <cell r="A160">
            <v>323004</v>
          </cell>
          <cell r="B160" t="str">
            <v>Arrendamiento de Mobiliario y Equipo</v>
          </cell>
          <cell r="C160" t="str">
            <v>S</v>
          </cell>
        </row>
        <row r="161">
          <cell r="A161">
            <v>324000</v>
          </cell>
          <cell r="B161" t="str">
            <v>Arrendamiento de equipo e instrumental médico y de laboratorio</v>
          </cell>
          <cell r="C161" t="str">
            <v>N</v>
          </cell>
        </row>
        <row r="162">
          <cell r="A162">
            <v>324001</v>
          </cell>
          <cell r="B162" t="str">
            <v>Arrendamiento de equipo e instrumental médico y de laboratorio</v>
          </cell>
          <cell r="C162" t="str">
            <v>S</v>
          </cell>
        </row>
        <row r="163">
          <cell r="A163">
            <v>325000</v>
          </cell>
          <cell r="B163" t="str">
            <v>Arrendamiento de equipo de transporte</v>
          </cell>
          <cell r="C163" t="str">
            <v>N</v>
          </cell>
        </row>
        <row r="164">
          <cell r="A164">
            <v>325001</v>
          </cell>
          <cell r="B164" t="str">
            <v>Arrendamiento de equipo de transporte</v>
          </cell>
          <cell r="C164" t="str">
            <v>S</v>
          </cell>
        </row>
        <row r="165">
          <cell r="A165">
            <v>326000</v>
          </cell>
          <cell r="B165" t="str">
            <v>Arrendamiento de maquinaria, otros equipos y herramientas</v>
          </cell>
          <cell r="C165" t="str">
            <v>N</v>
          </cell>
        </row>
        <row r="166">
          <cell r="A166">
            <v>326001</v>
          </cell>
          <cell r="B166" t="str">
            <v>Arrendamiento de maquinaria, otros equipos y herramientas</v>
          </cell>
          <cell r="C166" t="str">
            <v>S</v>
          </cell>
        </row>
        <row r="167">
          <cell r="A167">
            <v>327000</v>
          </cell>
          <cell r="B167" t="str">
            <v>Arrendamiento de activos intangibles</v>
          </cell>
          <cell r="C167" t="str">
            <v>N</v>
          </cell>
        </row>
        <row r="168">
          <cell r="A168">
            <v>327001</v>
          </cell>
          <cell r="B168" t="str">
            <v>Arrendamiento de activos intangibles</v>
          </cell>
          <cell r="C168" t="str">
            <v>S</v>
          </cell>
        </row>
        <row r="169">
          <cell r="A169">
            <v>328000</v>
          </cell>
          <cell r="B169" t="str">
            <v>Arrendamiento financiero</v>
          </cell>
          <cell r="C169" t="str">
            <v>N</v>
          </cell>
        </row>
        <row r="170">
          <cell r="A170">
            <v>328001</v>
          </cell>
          <cell r="B170" t="str">
            <v>Arrendamiento financiero</v>
          </cell>
          <cell r="C170" t="str">
            <v>S</v>
          </cell>
        </row>
        <row r="171">
          <cell r="A171">
            <v>328002</v>
          </cell>
          <cell r="B171" t="str">
            <v>Programa Estatal de Arrendamiento Vehicular</v>
          </cell>
          <cell r="C171" t="str">
            <v>S</v>
          </cell>
        </row>
        <row r="172">
          <cell r="A172">
            <v>329000</v>
          </cell>
          <cell r="B172" t="str">
            <v>Otros arrendamientos</v>
          </cell>
          <cell r="C172" t="str">
            <v>N</v>
          </cell>
        </row>
        <row r="173">
          <cell r="A173">
            <v>329001</v>
          </cell>
          <cell r="B173" t="str">
            <v>Arrendamientos especiales</v>
          </cell>
          <cell r="C173" t="str">
            <v>S</v>
          </cell>
        </row>
        <row r="174">
          <cell r="A174">
            <v>330000</v>
          </cell>
          <cell r="B174" t="str">
            <v>SERVICIOS PROFESIONALES, CIENTÍFICOS, TÉCNICOS Y OTROS SERVICIOS</v>
          </cell>
          <cell r="C174" t="str">
            <v>N</v>
          </cell>
        </row>
        <row r="175">
          <cell r="A175">
            <v>331000</v>
          </cell>
          <cell r="B175" t="str">
            <v>Servicios legales, de contabilidad, auditoría y relacionados</v>
          </cell>
          <cell r="C175" t="str">
            <v>N</v>
          </cell>
        </row>
        <row r="176">
          <cell r="A176">
            <v>331001</v>
          </cell>
          <cell r="B176" t="str">
            <v>Asesorías</v>
          </cell>
          <cell r="C176" t="str">
            <v>S</v>
          </cell>
        </row>
        <row r="177">
          <cell r="A177">
            <v>331002</v>
          </cell>
          <cell r="B177" t="str">
            <v>Servicios Notariales</v>
          </cell>
          <cell r="C177" t="str">
            <v>S</v>
          </cell>
        </row>
        <row r="178">
          <cell r="A178">
            <v>331003</v>
          </cell>
          <cell r="B178" t="str">
            <v>Consultoría y Gestión</v>
          </cell>
          <cell r="C178" t="str">
            <v>S</v>
          </cell>
        </row>
        <row r="179">
          <cell r="A179">
            <v>332000</v>
          </cell>
          <cell r="B179" t="str">
            <v>Servicios de diseño, arquitectura, ingeniería y actividades relacionadas</v>
          </cell>
          <cell r="C179" t="str">
            <v>N</v>
          </cell>
        </row>
        <row r="180">
          <cell r="A180">
            <v>332001</v>
          </cell>
          <cell r="B180" t="str">
            <v>Servicios de diseño, arquitectura, ingeniería y actividades relacionadas</v>
          </cell>
          <cell r="C180" t="str">
            <v>S</v>
          </cell>
        </row>
        <row r="181">
          <cell r="A181">
            <v>333000</v>
          </cell>
          <cell r="B181" t="str">
            <v>Servicios de consultoría administrativa, procesos, técnica y en tecnologías de la información</v>
          </cell>
          <cell r="C181" t="str">
            <v>N</v>
          </cell>
        </row>
        <row r="182">
          <cell r="A182">
            <v>333001</v>
          </cell>
          <cell r="B182" t="str">
            <v>Estudios e investigaciones</v>
          </cell>
          <cell r="C182" t="str">
            <v>S</v>
          </cell>
        </row>
        <row r="183">
          <cell r="A183">
            <v>333002</v>
          </cell>
          <cell r="B183" t="str">
            <v>Sistematización de la Armonización Contable y Presupuestal</v>
          </cell>
          <cell r="C183" t="str">
            <v>S</v>
          </cell>
        </row>
        <row r="184">
          <cell r="A184">
            <v>333003</v>
          </cell>
          <cell r="B184" t="str">
            <v>Servicios de consultoría administrativa, procesos, técnica y en tecnologías de la información</v>
          </cell>
          <cell r="C184" t="str">
            <v>S</v>
          </cell>
        </row>
        <row r="185">
          <cell r="A185">
            <v>334000</v>
          </cell>
          <cell r="B185" t="str">
            <v>Servicios de capacitación</v>
          </cell>
          <cell r="C185" t="str">
            <v>N</v>
          </cell>
        </row>
        <row r="186">
          <cell r="A186">
            <v>334001</v>
          </cell>
          <cell r="B186" t="str">
            <v>Cuotas e inscripciones</v>
          </cell>
          <cell r="C186" t="str">
            <v>S</v>
          </cell>
        </row>
        <row r="187">
          <cell r="A187">
            <v>334002</v>
          </cell>
          <cell r="B187" t="str">
            <v>Servicios de Capacitación</v>
          </cell>
          <cell r="C187" t="str">
            <v>S</v>
          </cell>
        </row>
        <row r="188">
          <cell r="A188">
            <v>335000</v>
          </cell>
          <cell r="B188" t="str">
            <v>Servicios de investigación científica y desarrollo</v>
          </cell>
          <cell r="C188" t="str">
            <v>N</v>
          </cell>
        </row>
        <row r="189">
          <cell r="A189">
            <v>335001</v>
          </cell>
          <cell r="B189" t="str">
            <v>Servicios de investigación científica y desarrollo</v>
          </cell>
          <cell r="C189" t="str">
            <v>S</v>
          </cell>
        </row>
        <row r="190">
          <cell r="A190">
            <v>336000</v>
          </cell>
          <cell r="B190" t="str">
            <v>Servicios de apoyo administrativo, traducción, fotocopiado e impresión</v>
          </cell>
          <cell r="C190" t="str">
            <v>N</v>
          </cell>
        </row>
        <row r="191">
          <cell r="A191">
            <v>336001</v>
          </cell>
          <cell r="B191" t="str">
            <v>Servicio de Fotocopiado, Enmicado y Encuadernación de Documentos.</v>
          </cell>
          <cell r="C191" t="str">
            <v>S</v>
          </cell>
        </row>
        <row r="192">
          <cell r="A192">
            <v>336002</v>
          </cell>
          <cell r="B192" t="str">
            <v>Servicio de Impresión y Elaboración de Material Informativo</v>
          </cell>
          <cell r="C192" t="str">
            <v>S</v>
          </cell>
        </row>
        <row r="193">
          <cell r="A193">
            <v>337000</v>
          </cell>
          <cell r="B193" t="str">
            <v>Servicios de protección y seguridad</v>
          </cell>
          <cell r="C193" t="str">
            <v>N</v>
          </cell>
        </row>
        <row r="194">
          <cell r="A194">
            <v>337001</v>
          </cell>
          <cell r="B194" t="str">
            <v>Dispositivo de seguridad pública</v>
          </cell>
          <cell r="C194" t="str">
            <v>S</v>
          </cell>
        </row>
        <row r="195">
          <cell r="A195">
            <v>338000</v>
          </cell>
          <cell r="B195" t="str">
            <v>Servicios de vigilancia</v>
          </cell>
          <cell r="C195" t="str">
            <v>N</v>
          </cell>
        </row>
        <row r="196">
          <cell r="A196">
            <v>338001</v>
          </cell>
          <cell r="B196" t="str">
            <v>Servicio de seguridad privada</v>
          </cell>
          <cell r="C196" t="str">
            <v>S</v>
          </cell>
        </row>
        <row r="197">
          <cell r="A197">
            <v>339000</v>
          </cell>
          <cell r="B197" t="str">
            <v>Servicios profesionales, científicos y técnicos integrales</v>
          </cell>
          <cell r="C197" t="str">
            <v>N</v>
          </cell>
        </row>
        <row r="198">
          <cell r="A198">
            <v>339001</v>
          </cell>
          <cell r="B198" t="str">
            <v>Servicios profesionales, científicos y técnicos integrales</v>
          </cell>
          <cell r="C198" t="str">
            <v>S</v>
          </cell>
        </row>
        <row r="199">
          <cell r="A199">
            <v>340000</v>
          </cell>
          <cell r="B199" t="str">
            <v>SERVICIOS FINANCIEROS, BANCARIOS Y COMERCIALES</v>
          </cell>
          <cell r="C199" t="str">
            <v>N</v>
          </cell>
        </row>
        <row r="200">
          <cell r="A200">
            <v>341000</v>
          </cell>
          <cell r="B200" t="str">
            <v>Servicios financieros y bancarios</v>
          </cell>
          <cell r="C200" t="str">
            <v>N</v>
          </cell>
        </row>
        <row r="201">
          <cell r="A201">
            <v>341001</v>
          </cell>
          <cell r="B201" t="str">
            <v>Comisiones, descuentos y otros servicios bancarios</v>
          </cell>
          <cell r="C201" t="str">
            <v>S</v>
          </cell>
        </row>
        <row r="202">
          <cell r="A202">
            <v>342000</v>
          </cell>
          <cell r="B202" t="str">
            <v>Servicios de cobranza, investigación crediticia y similar</v>
          </cell>
          <cell r="C202" t="str">
            <v>N</v>
          </cell>
        </row>
        <row r="203">
          <cell r="A203">
            <v>342001</v>
          </cell>
          <cell r="B203" t="str">
            <v>Servicios de cobranza, investigación crediticia y similar</v>
          </cell>
          <cell r="C203" t="str">
            <v>S</v>
          </cell>
        </row>
        <row r="204">
          <cell r="A204">
            <v>343000</v>
          </cell>
          <cell r="B204" t="str">
            <v>Servicios de recaudación, traslado y custodia de valores</v>
          </cell>
          <cell r="C204" t="str">
            <v>N</v>
          </cell>
        </row>
        <row r="205">
          <cell r="A205">
            <v>343001</v>
          </cell>
          <cell r="B205" t="str">
            <v>Servicios de recaudación, traslado y custodia de valores</v>
          </cell>
          <cell r="C205" t="str">
            <v>S</v>
          </cell>
        </row>
        <row r="206">
          <cell r="A206">
            <v>344000</v>
          </cell>
          <cell r="B206" t="str">
            <v>Seguros de responsabilidad patrimonial y fianzas</v>
          </cell>
          <cell r="C206" t="str">
            <v>N</v>
          </cell>
        </row>
        <row r="207">
          <cell r="A207">
            <v>344001</v>
          </cell>
          <cell r="B207" t="str">
            <v>Seguros de responsabilidad patrimonial y fianzas</v>
          </cell>
          <cell r="C207" t="str">
            <v>S</v>
          </cell>
        </row>
        <row r="208">
          <cell r="A208">
            <v>345000</v>
          </cell>
          <cell r="B208" t="str">
            <v>Seguro de bienes patrimoniales</v>
          </cell>
          <cell r="C208" t="str">
            <v>N</v>
          </cell>
        </row>
        <row r="209">
          <cell r="A209">
            <v>345001</v>
          </cell>
          <cell r="B209" t="str">
            <v>Seguros</v>
          </cell>
          <cell r="C209" t="str">
            <v>S</v>
          </cell>
        </row>
        <row r="210">
          <cell r="A210">
            <v>346000</v>
          </cell>
          <cell r="B210" t="str">
            <v>Almacenaje, envase y embalaje</v>
          </cell>
          <cell r="C210" t="str">
            <v>N</v>
          </cell>
        </row>
        <row r="211">
          <cell r="A211">
            <v>346001</v>
          </cell>
          <cell r="B211" t="str">
            <v>Almacenaje, envase y embalaje</v>
          </cell>
          <cell r="C211" t="str">
            <v>S</v>
          </cell>
        </row>
        <row r="212">
          <cell r="A212">
            <v>347000</v>
          </cell>
          <cell r="B212" t="str">
            <v>Fletes y maniobras</v>
          </cell>
          <cell r="C212" t="str">
            <v>N</v>
          </cell>
        </row>
        <row r="213">
          <cell r="A213">
            <v>347001</v>
          </cell>
          <cell r="B213" t="str">
            <v>Fletes, maniobras y almacenaje</v>
          </cell>
          <cell r="C213" t="str">
            <v>S</v>
          </cell>
        </row>
        <row r="214">
          <cell r="A214">
            <v>348000</v>
          </cell>
          <cell r="B214" t="str">
            <v>Comisiones por ventas</v>
          </cell>
          <cell r="C214" t="str">
            <v>N</v>
          </cell>
        </row>
        <row r="215">
          <cell r="A215">
            <v>348001</v>
          </cell>
          <cell r="B215" t="str">
            <v>Comisiones por ventas</v>
          </cell>
          <cell r="C215" t="str">
            <v>S</v>
          </cell>
        </row>
        <row r="216">
          <cell r="A216">
            <v>349000</v>
          </cell>
          <cell r="B216" t="str">
            <v>Servicios financieros, bancarios y comerciales integrales</v>
          </cell>
          <cell r="C216" t="str">
            <v>N</v>
          </cell>
        </row>
        <row r="217">
          <cell r="A217">
            <v>349001</v>
          </cell>
          <cell r="B217" t="str">
            <v>Servicios financieros, bancarios y comerciales integrales</v>
          </cell>
          <cell r="C217" t="str">
            <v>S</v>
          </cell>
        </row>
        <row r="218">
          <cell r="A218">
            <v>350000</v>
          </cell>
          <cell r="B218" t="str">
            <v>SERVICIOS DE INSTALACIÓN, REPARACIÓN, MANTENIMIENTO Y CONSERVACIÓN</v>
          </cell>
          <cell r="C218" t="str">
            <v>N</v>
          </cell>
        </row>
        <row r="219">
          <cell r="A219">
            <v>351000</v>
          </cell>
          <cell r="B219" t="str">
            <v>Conservación y mantenimiento menor de inmuebles</v>
          </cell>
          <cell r="C219" t="str">
            <v>N</v>
          </cell>
        </row>
        <row r="220">
          <cell r="A220">
            <v>351001</v>
          </cell>
          <cell r="B220" t="str">
            <v>Mantenimiento de inmuebles</v>
          </cell>
          <cell r="C220" t="str">
            <v>S</v>
          </cell>
        </row>
        <row r="221">
          <cell r="A221">
            <v>351002</v>
          </cell>
          <cell r="B221" t="str">
            <v>Fumigación de Inmuebles</v>
          </cell>
          <cell r="C221" t="str">
            <v>S</v>
          </cell>
        </row>
        <row r="222">
          <cell r="A222">
            <v>351003</v>
          </cell>
          <cell r="B222" t="str">
            <v>Mantto. y Conserv. de Inmuebles Sub Proc. Zona Norte</v>
          </cell>
          <cell r="C222" t="str">
            <v>S</v>
          </cell>
        </row>
        <row r="223">
          <cell r="A223">
            <v>352000</v>
          </cell>
          <cell r="B223" t="str">
            <v>Instalación, reparación y mantenimiento de mobiliario y equipo de administración, educacional y recreativo</v>
          </cell>
          <cell r="C223" t="str">
            <v>N</v>
          </cell>
        </row>
        <row r="224">
          <cell r="A224">
            <v>352001</v>
          </cell>
          <cell r="B224" t="str">
            <v>Mantenimiento de mobiliario y equipo</v>
          </cell>
          <cell r="C224" t="str">
            <v>S</v>
          </cell>
        </row>
        <row r="225">
          <cell r="A225">
            <v>352002</v>
          </cell>
          <cell r="B225" t="str">
            <v>Gastos de instalación</v>
          </cell>
          <cell r="C225" t="str">
            <v>S</v>
          </cell>
        </row>
        <row r="226">
          <cell r="A226">
            <v>352003</v>
          </cell>
          <cell r="B226" t="str">
            <v>Mantto. y Conservación Archivo General de Notarias del Gob. del Edo.</v>
          </cell>
          <cell r="C226" t="str">
            <v>S</v>
          </cell>
        </row>
        <row r="227">
          <cell r="A227">
            <v>353000</v>
          </cell>
          <cell r="B227" t="str">
            <v>Instalación, reparación y mantenimiento de equipo de cómputo y tecnología de la información</v>
          </cell>
          <cell r="C227" t="str">
            <v>N</v>
          </cell>
        </row>
        <row r="228">
          <cell r="A228">
            <v>353001</v>
          </cell>
          <cell r="B228" t="str">
            <v>Instalación, reparación y mantenimiento de equipo de cómputo y tecnología  de la información</v>
          </cell>
          <cell r="C228" t="str">
            <v>S</v>
          </cell>
        </row>
        <row r="229">
          <cell r="A229">
            <v>354000</v>
          </cell>
          <cell r="B229" t="str">
            <v>Instalación, reparación y mantenimiento de equipo e instrumental médico y de laboratorio</v>
          </cell>
          <cell r="C229" t="str">
            <v>N</v>
          </cell>
        </row>
        <row r="230">
          <cell r="A230">
            <v>354001</v>
          </cell>
          <cell r="B230" t="str">
            <v>Instalación, reparación y mantenimiento de equipo e instrumental médico y de laboratorio</v>
          </cell>
          <cell r="C230" t="str">
            <v>S</v>
          </cell>
        </row>
        <row r="231">
          <cell r="A231">
            <v>355000</v>
          </cell>
          <cell r="B231" t="str">
            <v>Reparación y mantenimiento de equipo de transporte</v>
          </cell>
          <cell r="C231" t="str">
            <v>N</v>
          </cell>
        </row>
        <row r="232">
          <cell r="A232">
            <v>355001</v>
          </cell>
          <cell r="B232" t="str">
            <v>Mantto. y conservación de vehículos terrestres, aéreos, marítimos, lacustres y fluviales</v>
          </cell>
          <cell r="C232" t="str">
            <v>S</v>
          </cell>
        </row>
        <row r="233">
          <cell r="A233">
            <v>356000</v>
          </cell>
          <cell r="B233" t="str">
            <v>Reparación y mantenimiento de equipo de defensa y seguridad</v>
          </cell>
          <cell r="C233" t="str">
            <v>N</v>
          </cell>
        </row>
        <row r="234">
          <cell r="A234">
            <v>356001</v>
          </cell>
          <cell r="B234" t="str">
            <v>Reparación y mantenimiento de equipo de defensa y seguridad</v>
          </cell>
          <cell r="C234" t="str">
            <v>S</v>
          </cell>
        </row>
        <row r="235">
          <cell r="A235">
            <v>357000</v>
          </cell>
          <cell r="B235" t="str">
            <v>Instalación, reparación y mantenimiento de maquinaria, otros equipos y herramienta</v>
          </cell>
          <cell r="C235" t="str">
            <v>N</v>
          </cell>
        </row>
        <row r="236">
          <cell r="A236">
            <v>357001</v>
          </cell>
          <cell r="B236" t="str">
            <v>Instalación, reparación y mantenimiento de Equipo de Telecomunicaciones</v>
          </cell>
          <cell r="C236" t="str">
            <v>S</v>
          </cell>
        </row>
        <row r="237">
          <cell r="A237">
            <v>357002</v>
          </cell>
          <cell r="B237" t="str">
            <v>Instalación, reparación y mantenimiento de maquinaria, otros equipos y herramienta</v>
          </cell>
          <cell r="C237" t="str">
            <v>S</v>
          </cell>
        </row>
        <row r="238">
          <cell r="A238">
            <v>358000</v>
          </cell>
          <cell r="B238" t="str">
            <v>Servicios de limpieza y manejo de desechos</v>
          </cell>
          <cell r="C238" t="str">
            <v>N</v>
          </cell>
        </row>
        <row r="239">
          <cell r="A239">
            <v>358001</v>
          </cell>
          <cell r="B239" t="str">
            <v>Servicios de higiene y limpieza</v>
          </cell>
          <cell r="C239" t="str">
            <v>S</v>
          </cell>
        </row>
        <row r="240">
          <cell r="A240">
            <v>358002</v>
          </cell>
          <cell r="B240" t="str">
            <v>Servicios de Limpieza y Lavado de Vehículos</v>
          </cell>
          <cell r="C240" t="str">
            <v>S</v>
          </cell>
        </row>
        <row r="241">
          <cell r="A241">
            <v>358003</v>
          </cell>
          <cell r="B241" t="str">
            <v>Servicios de Lavandería</v>
          </cell>
          <cell r="C241" t="str">
            <v>S</v>
          </cell>
        </row>
        <row r="242">
          <cell r="A242">
            <v>359000</v>
          </cell>
          <cell r="B242" t="str">
            <v>Servicios de jardinería y fumigación</v>
          </cell>
          <cell r="C242" t="str">
            <v>N</v>
          </cell>
        </row>
        <row r="243">
          <cell r="A243">
            <v>359001</v>
          </cell>
          <cell r="B243" t="str">
            <v>Árboles, plantas, semillas y abonos</v>
          </cell>
          <cell r="C243" t="str">
            <v>S</v>
          </cell>
        </row>
        <row r="244">
          <cell r="A244">
            <v>359002</v>
          </cell>
          <cell r="B244" t="str">
            <v>Fumigación de áreas verdes</v>
          </cell>
          <cell r="C244" t="str">
            <v>S</v>
          </cell>
        </row>
        <row r="245">
          <cell r="A245">
            <v>360000</v>
          </cell>
          <cell r="B245" t="str">
            <v>SERVICIOS DE COMUNICACIÓN SOCIAL Y PUBLICIDAD</v>
          </cell>
          <cell r="C245" t="str">
            <v>N</v>
          </cell>
        </row>
        <row r="246">
          <cell r="A246">
            <v>361000</v>
          </cell>
          <cell r="B246" t="str">
            <v>Difusión por radio, televisión y otros medios de mensajes sobre programas y actividades gubernamentales</v>
          </cell>
          <cell r="C246" t="str">
            <v>N</v>
          </cell>
        </row>
        <row r="247">
          <cell r="A247">
            <v>361001</v>
          </cell>
          <cell r="B247" t="str">
            <v>Gastos de difusión</v>
          </cell>
          <cell r="C247" t="str">
            <v>S</v>
          </cell>
        </row>
        <row r="248">
          <cell r="A248">
            <v>361002</v>
          </cell>
          <cell r="B248" t="str">
            <v>Impresiones y publicaciones oficiales</v>
          </cell>
          <cell r="C248" t="str">
            <v>S</v>
          </cell>
        </row>
        <row r="249">
          <cell r="A249">
            <v>361003</v>
          </cell>
          <cell r="B249" t="str">
            <v>Rotulaciones oficiales</v>
          </cell>
          <cell r="C249" t="str">
            <v>S</v>
          </cell>
        </row>
        <row r="250">
          <cell r="A250">
            <v>361004</v>
          </cell>
          <cell r="B250" t="str">
            <v>Publicación de convocatorias</v>
          </cell>
          <cell r="C250" t="str">
            <v>S</v>
          </cell>
        </row>
        <row r="251">
          <cell r="A251">
            <v>362000</v>
          </cell>
          <cell r="B251" t="str">
            <v>Difusión por radio, televisión y otros medios de mensajes comerciales para promover la venta de bienes o servicios</v>
          </cell>
          <cell r="C251" t="str">
            <v>N</v>
          </cell>
        </row>
        <row r="252">
          <cell r="A252">
            <v>362001</v>
          </cell>
          <cell r="B252" t="str">
            <v>Difusión por radio, televisión y otros medios de mensajes comerciales para promover la venta de bienes o servicios</v>
          </cell>
          <cell r="C252" t="str">
            <v>S</v>
          </cell>
        </row>
        <row r="253">
          <cell r="A253">
            <v>362002</v>
          </cell>
          <cell r="B253" t="str">
            <v>Difusión por radio, televisión y otros medios de mensajes comerciales para promover la venta de bienes o servicios, fuera del país</v>
          </cell>
          <cell r="C253" t="str">
            <v>S</v>
          </cell>
        </row>
        <row r="254">
          <cell r="A254">
            <v>363000</v>
          </cell>
          <cell r="B254" t="str">
            <v>Servicios de creatividad, preproducción y producción de publicidad, excepto Internet</v>
          </cell>
          <cell r="C254" t="str">
            <v>N</v>
          </cell>
        </row>
        <row r="255">
          <cell r="A255">
            <v>363001</v>
          </cell>
          <cell r="B255" t="str">
            <v>Servicios de Producción y Diseño Publicitario</v>
          </cell>
          <cell r="C255" t="str">
            <v>S</v>
          </cell>
        </row>
        <row r="256">
          <cell r="A256">
            <v>364000</v>
          </cell>
          <cell r="B256" t="str">
            <v>Servicios de revelado de fotografías</v>
          </cell>
          <cell r="C256" t="str">
            <v>N</v>
          </cell>
        </row>
        <row r="257">
          <cell r="A257">
            <v>364001</v>
          </cell>
          <cell r="B257" t="str">
            <v>Revelado de Fotografías</v>
          </cell>
          <cell r="C257" t="str">
            <v>S</v>
          </cell>
        </row>
        <row r="258">
          <cell r="A258">
            <v>365000</v>
          </cell>
          <cell r="B258" t="str">
            <v>Servicios de la industria fílmica, del sonido y del video</v>
          </cell>
          <cell r="C258" t="str">
            <v>N</v>
          </cell>
        </row>
        <row r="259">
          <cell r="A259">
            <v>365001</v>
          </cell>
          <cell r="B259" t="str">
            <v>Servicios de la industria fílmica, del sonido y del video</v>
          </cell>
          <cell r="C259" t="str">
            <v>S</v>
          </cell>
        </row>
        <row r="260">
          <cell r="A260">
            <v>366000</v>
          </cell>
          <cell r="B260" t="str">
            <v>Servicio de creación y difusión de contenido exclusivamente a través de Internet</v>
          </cell>
          <cell r="C260" t="str">
            <v>N</v>
          </cell>
        </row>
        <row r="261">
          <cell r="A261">
            <v>366001</v>
          </cell>
          <cell r="B261" t="str">
            <v>Gastos de difusión a través de internet</v>
          </cell>
          <cell r="C261" t="str">
            <v>S</v>
          </cell>
        </row>
        <row r="262">
          <cell r="A262">
            <v>369000</v>
          </cell>
          <cell r="B262" t="str">
            <v>Otros servicios de información</v>
          </cell>
          <cell r="C262" t="str">
            <v>N</v>
          </cell>
        </row>
        <row r="263">
          <cell r="A263">
            <v>369001</v>
          </cell>
          <cell r="B263" t="str">
            <v>Monitoreo de Información y Encuestas</v>
          </cell>
          <cell r="C263" t="str">
            <v>S</v>
          </cell>
        </row>
        <row r="264">
          <cell r="A264">
            <v>370000</v>
          </cell>
          <cell r="B264" t="str">
            <v>SERVICIOS DE TRASLADO Y VIÁTICOS</v>
          </cell>
          <cell r="C264" t="str">
            <v>N</v>
          </cell>
        </row>
        <row r="265">
          <cell r="A265">
            <v>371000</v>
          </cell>
          <cell r="B265" t="str">
            <v>Pasajes aéreos</v>
          </cell>
          <cell r="C265" t="str">
            <v>N</v>
          </cell>
        </row>
        <row r="266">
          <cell r="A266">
            <v>371001</v>
          </cell>
          <cell r="B266" t="str">
            <v>Pasajes aéreos</v>
          </cell>
          <cell r="C266" t="str">
            <v>S</v>
          </cell>
        </row>
        <row r="267">
          <cell r="A267">
            <v>372000</v>
          </cell>
          <cell r="B267" t="str">
            <v>Pasajes terrestres</v>
          </cell>
          <cell r="C267" t="str">
            <v>N</v>
          </cell>
        </row>
        <row r="268">
          <cell r="A268">
            <v>372001</v>
          </cell>
          <cell r="B268" t="str">
            <v>Pasajes terrestres</v>
          </cell>
          <cell r="C268" t="str">
            <v>S</v>
          </cell>
        </row>
        <row r="269">
          <cell r="A269">
            <v>373000</v>
          </cell>
          <cell r="B269" t="str">
            <v>Pasajes marítimos, lacustres y fluviales</v>
          </cell>
          <cell r="C269" t="str">
            <v>N</v>
          </cell>
        </row>
        <row r="270">
          <cell r="A270">
            <v>373001</v>
          </cell>
          <cell r="B270" t="str">
            <v>Pasajes marítimos</v>
          </cell>
          <cell r="C270" t="str">
            <v>S</v>
          </cell>
        </row>
        <row r="271">
          <cell r="A271">
            <v>374000</v>
          </cell>
          <cell r="B271" t="str">
            <v>Autotransporte</v>
          </cell>
          <cell r="C271" t="str">
            <v>N</v>
          </cell>
        </row>
        <row r="272">
          <cell r="A272">
            <v>374001</v>
          </cell>
          <cell r="B272" t="str">
            <v>Autotransporte</v>
          </cell>
          <cell r="C272" t="str">
            <v>S</v>
          </cell>
        </row>
        <row r="273">
          <cell r="A273">
            <v>375000</v>
          </cell>
          <cell r="B273" t="str">
            <v>Viáticos en el país</v>
          </cell>
          <cell r="C273" t="str">
            <v>N</v>
          </cell>
        </row>
        <row r="274">
          <cell r="A274">
            <v>375001</v>
          </cell>
          <cell r="B274" t="str">
            <v>Viáticos</v>
          </cell>
          <cell r="C274" t="str">
            <v>S</v>
          </cell>
        </row>
        <row r="275">
          <cell r="A275">
            <v>376000</v>
          </cell>
          <cell r="B275" t="str">
            <v>Viáticos en el extranjero</v>
          </cell>
          <cell r="C275" t="str">
            <v>N</v>
          </cell>
        </row>
        <row r="276">
          <cell r="A276">
            <v>376001</v>
          </cell>
          <cell r="B276" t="str">
            <v>Viáticos en el extranjero</v>
          </cell>
          <cell r="C276" t="str">
            <v>S</v>
          </cell>
        </row>
        <row r="277">
          <cell r="A277">
            <v>377000</v>
          </cell>
          <cell r="B277" t="str">
            <v>Gastos de instalación y traslado de menaje</v>
          </cell>
          <cell r="C277" t="str">
            <v>N</v>
          </cell>
        </row>
        <row r="278">
          <cell r="A278">
            <v>377001</v>
          </cell>
          <cell r="B278" t="str">
            <v>Gastos de instalación y traslado de menaje</v>
          </cell>
          <cell r="C278" t="str">
            <v>S</v>
          </cell>
        </row>
        <row r="279">
          <cell r="A279">
            <v>378000</v>
          </cell>
          <cell r="B279" t="str">
            <v>Servicios integrales de traslado y viáticos</v>
          </cell>
          <cell r="C279" t="str">
            <v>N</v>
          </cell>
        </row>
        <row r="280">
          <cell r="A280">
            <v>378001</v>
          </cell>
          <cell r="B280" t="str">
            <v>Diligencias judiciales</v>
          </cell>
          <cell r="C280" t="str">
            <v>S</v>
          </cell>
        </row>
        <row r="281">
          <cell r="A281">
            <v>379000</v>
          </cell>
          <cell r="B281" t="str">
            <v>Otros servicios de traslado y hospedaje</v>
          </cell>
          <cell r="C281" t="str">
            <v>N</v>
          </cell>
        </row>
        <row r="282">
          <cell r="A282">
            <v>379001</v>
          </cell>
          <cell r="B282" t="str">
            <v>Traslado de vehículos</v>
          </cell>
          <cell r="C282" t="str">
            <v>S</v>
          </cell>
        </row>
        <row r="283">
          <cell r="A283">
            <v>379002</v>
          </cell>
          <cell r="B283" t="str">
            <v>Gastos de traslado de personas</v>
          </cell>
          <cell r="C283" t="str">
            <v>S</v>
          </cell>
        </row>
        <row r="284">
          <cell r="A284">
            <v>379003</v>
          </cell>
          <cell r="B284" t="str">
            <v>Hospedaje de personas</v>
          </cell>
          <cell r="C284" t="str">
            <v>S</v>
          </cell>
        </row>
        <row r="285">
          <cell r="A285">
            <v>380000</v>
          </cell>
          <cell r="B285" t="str">
            <v>SERVICIOS OFICIALES</v>
          </cell>
          <cell r="C285" t="str">
            <v>N</v>
          </cell>
        </row>
        <row r="286">
          <cell r="A286">
            <v>381000</v>
          </cell>
          <cell r="B286" t="str">
            <v>Gastos de ceremonial</v>
          </cell>
          <cell r="C286" t="str">
            <v>N</v>
          </cell>
        </row>
        <row r="287">
          <cell r="A287">
            <v>381001</v>
          </cell>
          <cell r="B287" t="str">
            <v>Atención a personalidades nacionales y extranjeras</v>
          </cell>
          <cell r="C287" t="str">
            <v>S</v>
          </cell>
        </row>
        <row r="288">
          <cell r="A288">
            <v>382000</v>
          </cell>
          <cell r="B288" t="str">
            <v>Gastos de orden social y cultural</v>
          </cell>
          <cell r="C288" t="str">
            <v>N</v>
          </cell>
        </row>
        <row r="289">
          <cell r="A289">
            <v>382001</v>
          </cell>
          <cell r="B289" t="str">
            <v>Espectáculos y actividades culturales</v>
          </cell>
          <cell r="C289" t="str">
            <v>S</v>
          </cell>
        </row>
        <row r="290">
          <cell r="A290">
            <v>382002</v>
          </cell>
          <cell r="B290" t="str">
            <v>Gastos de recepción, conmemorativos y de orden social</v>
          </cell>
          <cell r="C290" t="str">
            <v>S</v>
          </cell>
        </row>
        <row r="291">
          <cell r="A291">
            <v>382003</v>
          </cell>
          <cell r="B291" t="str">
            <v>Adaptaciones para eventos sociales y culturales</v>
          </cell>
          <cell r="C291" t="str">
            <v>S</v>
          </cell>
        </row>
        <row r="292">
          <cell r="A292">
            <v>382004</v>
          </cell>
          <cell r="B292" t="str">
            <v>Festividades y Eventos</v>
          </cell>
          <cell r="C292" t="str">
            <v>S</v>
          </cell>
        </row>
        <row r="293">
          <cell r="A293">
            <v>383000</v>
          </cell>
          <cell r="B293" t="str">
            <v>Congresos y convenciones</v>
          </cell>
          <cell r="C293" t="str">
            <v>N</v>
          </cell>
        </row>
        <row r="294">
          <cell r="A294">
            <v>383001</v>
          </cell>
          <cell r="B294" t="str">
            <v>Congresos y convenciones</v>
          </cell>
          <cell r="C294" t="str">
            <v>S</v>
          </cell>
        </row>
        <row r="295">
          <cell r="A295">
            <v>384000</v>
          </cell>
          <cell r="B295" t="str">
            <v>Exposiciones</v>
          </cell>
          <cell r="C295" t="str">
            <v>N</v>
          </cell>
        </row>
        <row r="296">
          <cell r="A296">
            <v>384001</v>
          </cell>
          <cell r="B296" t="str">
            <v>Exposiciones</v>
          </cell>
          <cell r="C296" t="str">
            <v>S</v>
          </cell>
        </row>
        <row r="297">
          <cell r="A297">
            <v>385000</v>
          </cell>
          <cell r="B297" t="str">
            <v>Gastos de representación</v>
          </cell>
          <cell r="C297" t="str">
            <v>N</v>
          </cell>
        </row>
        <row r="298">
          <cell r="A298">
            <v>385001</v>
          </cell>
          <cell r="B298" t="str">
            <v>Gastos de representación</v>
          </cell>
          <cell r="C298" t="str">
            <v>S</v>
          </cell>
        </row>
        <row r="299">
          <cell r="A299">
            <v>390000</v>
          </cell>
          <cell r="B299" t="str">
            <v>OTROS SERVICIOS GENERALES</v>
          </cell>
          <cell r="C299" t="str">
            <v>N</v>
          </cell>
        </row>
        <row r="300">
          <cell r="A300">
            <v>391000</v>
          </cell>
          <cell r="B300" t="str">
            <v>Servicios funerarios y de cementerios</v>
          </cell>
          <cell r="C300" t="str">
            <v>N</v>
          </cell>
        </row>
        <row r="301">
          <cell r="A301">
            <v>391001</v>
          </cell>
          <cell r="B301" t="str">
            <v>Servicios funerarios y de cementerios</v>
          </cell>
          <cell r="C301" t="str">
            <v>S</v>
          </cell>
        </row>
        <row r="302">
          <cell r="A302">
            <v>392000</v>
          </cell>
          <cell r="B302" t="str">
            <v>Impuestos y derechos</v>
          </cell>
          <cell r="C302" t="str">
            <v>N</v>
          </cell>
        </row>
        <row r="303">
          <cell r="A303">
            <v>392001</v>
          </cell>
          <cell r="B303" t="str">
            <v>Impuestos y derechos</v>
          </cell>
          <cell r="C303" t="str">
            <v>S</v>
          </cell>
        </row>
        <row r="304">
          <cell r="A304">
            <v>393000</v>
          </cell>
          <cell r="B304" t="str">
            <v>Impuestos y derechos de importación</v>
          </cell>
          <cell r="C304" t="str">
            <v>N</v>
          </cell>
        </row>
        <row r="305">
          <cell r="A305">
            <v>393001</v>
          </cell>
          <cell r="B305" t="str">
            <v>Impuestos y derechos de importación</v>
          </cell>
          <cell r="C305" t="str">
            <v>S</v>
          </cell>
        </row>
        <row r="306">
          <cell r="A306">
            <v>394000</v>
          </cell>
          <cell r="B306" t="str">
            <v>Sentencias y resoluciones judiciales</v>
          </cell>
          <cell r="C306" t="str">
            <v>N</v>
          </cell>
        </row>
        <row r="307">
          <cell r="A307">
            <v>394001</v>
          </cell>
          <cell r="B307" t="str">
            <v>Sentencias y resoluciones judiciales</v>
          </cell>
          <cell r="C307" t="str">
            <v>S</v>
          </cell>
        </row>
        <row r="308">
          <cell r="A308">
            <v>395000</v>
          </cell>
          <cell r="B308" t="str">
            <v>Penas, multas, accesorios y actualizaciones</v>
          </cell>
          <cell r="C308" t="str">
            <v>N</v>
          </cell>
        </row>
        <row r="309">
          <cell r="A309">
            <v>395001</v>
          </cell>
          <cell r="B309" t="str">
            <v>Penas, multas, accesorios y actualizaciones</v>
          </cell>
          <cell r="C309" t="str">
            <v>S</v>
          </cell>
        </row>
        <row r="310">
          <cell r="A310">
            <v>396000</v>
          </cell>
          <cell r="B310" t="str">
            <v>Otros gastos por responsabilidades</v>
          </cell>
          <cell r="C310" t="str">
            <v>N</v>
          </cell>
        </row>
        <row r="311">
          <cell r="A311">
            <v>396001</v>
          </cell>
          <cell r="B311" t="str">
            <v>Otros gastos por responsabilidades</v>
          </cell>
          <cell r="C311" t="str">
            <v>S</v>
          </cell>
        </row>
        <row r="312">
          <cell r="A312">
            <v>399000</v>
          </cell>
          <cell r="B312" t="str">
            <v>Otros servicios generales</v>
          </cell>
          <cell r="C312" t="str">
            <v>N</v>
          </cell>
        </row>
        <row r="313">
          <cell r="A313">
            <v>399001</v>
          </cell>
          <cell r="B313" t="str">
            <v>Gastos menores</v>
          </cell>
          <cell r="C313" t="str">
            <v>S</v>
          </cell>
        </row>
        <row r="314">
          <cell r="A314">
            <v>399002</v>
          </cell>
          <cell r="B314" t="str">
            <v>Retribuciones a reos</v>
          </cell>
          <cell r="C314" t="str">
            <v>S</v>
          </cell>
        </row>
        <row r="315">
          <cell r="A315">
            <v>399003</v>
          </cell>
          <cell r="B315" t="str">
            <v>Otros servicios de la administración pública</v>
          </cell>
          <cell r="C315" t="str">
            <v>S</v>
          </cell>
        </row>
        <row r="316">
          <cell r="A316">
            <v>399004</v>
          </cell>
          <cell r="B316" t="str">
            <v>Previsión Arrendamientos</v>
          </cell>
          <cell r="C316" t="str">
            <v>Prev</v>
          </cell>
        </row>
        <row r="317">
          <cell r="A317">
            <v>500000</v>
          </cell>
          <cell r="B317" t="str">
            <v>BIENES MUEBLES, INMUEBLES E INTANGIBLES</v>
          </cell>
          <cell r="C317" t="str">
            <v>N</v>
          </cell>
        </row>
        <row r="318">
          <cell r="A318">
            <v>510000</v>
          </cell>
          <cell r="B318" t="str">
            <v>MOBILIARIO Y EQUIPO DE ADMINISTRACIÓN</v>
          </cell>
          <cell r="C318" t="str">
            <v>N</v>
          </cell>
        </row>
        <row r="319">
          <cell r="A319">
            <v>511000</v>
          </cell>
          <cell r="B319" t="str">
            <v>Muebles de oficina y estantería</v>
          </cell>
          <cell r="C319" t="str">
            <v>N</v>
          </cell>
        </row>
        <row r="320">
          <cell r="A320">
            <v>511001</v>
          </cell>
          <cell r="B320" t="str">
            <v>Mobiliario</v>
          </cell>
          <cell r="C320" t="str">
            <v>S</v>
          </cell>
        </row>
        <row r="321">
          <cell r="A321">
            <v>512000</v>
          </cell>
          <cell r="B321" t="str">
            <v>Muebles, excepto de oficina y estantería</v>
          </cell>
          <cell r="C321" t="str">
            <v>N</v>
          </cell>
        </row>
        <row r="322">
          <cell r="A322">
            <v>512001</v>
          </cell>
          <cell r="B322" t="str">
            <v>Muebles, excepto de oficina y estantería</v>
          </cell>
          <cell r="C322" t="str">
            <v>S</v>
          </cell>
        </row>
        <row r="323">
          <cell r="A323">
            <v>513000</v>
          </cell>
          <cell r="B323" t="str">
            <v>Bienes artísticos, culturales y científicos</v>
          </cell>
          <cell r="C323" t="str">
            <v>N</v>
          </cell>
        </row>
        <row r="324">
          <cell r="A324">
            <v>513001</v>
          </cell>
          <cell r="B324" t="str">
            <v>Bienes artísticos y culturales</v>
          </cell>
          <cell r="C324" t="str">
            <v>S</v>
          </cell>
        </row>
        <row r="325">
          <cell r="A325">
            <v>514000</v>
          </cell>
          <cell r="B325" t="str">
            <v>Objetos de valor</v>
          </cell>
          <cell r="C325" t="str">
            <v>N</v>
          </cell>
        </row>
        <row r="326">
          <cell r="A326">
            <v>514001</v>
          </cell>
          <cell r="B326" t="str">
            <v>Objetos de valor</v>
          </cell>
          <cell r="C326" t="str">
            <v>S</v>
          </cell>
        </row>
        <row r="327">
          <cell r="A327">
            <v>515000</v>
          </cell>
          <cell r="B327" t="str">
            <v>Equipo de cómputo y de tecnologías de la información</v>
          </cell>
          <cell r="C327" t="str">
            <v>N</v>
          </cell>
        </row>
        <row r="328">
          <cell r="A328">
            <v>515001</v>
          </cell>
          <cell r="B328" t="str">
            <v>Equipo de administración</v>
          </cell>
          <cell r="C328" t="str">
            <v>S</v>
          </cell>
        </row>
        <row r="329">
          <cell r="A329">
            <v>515002</v>
          </cell>
          <cell r="B329" t="str">
            <v>Equipo de Cómputo y Aparatos de Uso Informático</v>
          </cell>
          <cell r="C329" t="str">
            <v>S</v>
          </cell>
        </row>
        <row r="330">
          <cell r="A330">
            <v>515003</v>
          </cell>
          <cell r="B330" t="str">
            <v>Sistemas de Rastreo Satelital (GPS)</v>
          </cell>
          <cell r="C330" t="str">
            <v>S</v>
          </cell>
        </row>
        <row r="331">
          <cell r="A331">
            <v>519000</v>
          </cell>
          <cell r="B331" t="str">
            <v>Otros mobiliarios y equipos de administración</v>
          </cell>
          <cell r="C331" t="str">
            <v>N</v>
          </cell>
        </row>
        <row r="332">
          <cell r="A332">
            <v>519001</v>
          </cell>
          <cell r="B332" t="str">
            <v>Cámaras y Circuitos Cerrados de Seguridad</v>
          </cell>
          <cell r="C332" t="str">
            <v>S</v>
          </cell>
        </row>
        <row r="333">
          <cell r="A333">
            <v>519002</v>
          </cell>
          <cell r="B333" t="str">
            <v>Equipos de Audio</v>
          </cell>
          <cell r="C333" t="str">
            <v>S</v>
          </cell>
        </row>
        <row r="334">
          <cell r="A334">
            <v>519003</v>
          </cell>
          <cell r="B334" t="str">
            <v>Otras Herramientas, Mobiliarios y Eq. De Administración</v>
          </cell>
          <cell r="C334" t="str">
            <v>S</v>
          </cell>
        </row>
        <row r="335">
          <cell r="A335">
            <v>519004</v>
          </cell>
          <cell r="B335" t="str">
            <v>Aulas Móviles de Vigilancia</v>
          </cell>
          <cell r="C335" t="str">
            <v>S</v>
          </cell>
        </row>
        <row r="336">
          <cell r="A336">
            <v>520000</v>
          </cell>
          <cell r="B336" t="str">
            <v>MOBILIARIO Y EQUIPO EDUCACIONAL Y RECREATIVO</v>
          </cell>
          <cell r="C336" t="str">
            <v>N</v>
          </cell>
        </row>
        <row r="337">
          <cell r="A337">
            <v>521000</v>
          </cell>
          <cell r="B337" t="str">
            <v>Equipos y aparatos audiovisuales</v>
          </cell>
          <cell r="C337" t="str">
            <v>N</v>
          </cell>
        </row>
        <row r="338">
          <cell r="A338">
            <v>521001</v>
          </cell>
          <cell r="B338" t="str">
            <v>Equipo educacional y recreativo</v>
          </cell>
          <cell r="C338" t="str">
            <v>S</v>
          </cell>
        </row>
        <row r="339">
          <cell r="A339">
            <v>522000</v>
          </cell>
          <cell r="B339" t="str">
            <v>Aparatos deportivos</v>
          </cell>
          <cell r="C339" t="str">
            <v>N</v>
          </cell>
        </row>
        <row r="340">
          <cell r="A340">
            <v>522001</v>
          </cell>
          <cell r="B340" t="str">
            <v>Aparatos deportivos</v>
          </cell>
          <cell r="C340" t="str">
            <v>S</v>
          </cell>
        </row>
        <row r="341">
          <cell r="A341">
            <v>523000</v>
          </cell>
          <cell r="B341" t="str">
            <v>Cámaras fotográficas y de video</v>
          </cell>
          <cell r="C341" t="str">
            <v>N</v>
          </cell>
        </row>
        <row r="342">
          <cell r="A342">
            <v>523001</v>
          </cell>
          <cell r="B342" t="str">
            <v>Cámaras Fotográficas</v>
          </cell>
          <cell r="C342" t="str">
            <v>S</v>
          </cell>
        </row>
        <row r="343">
          <cell r="A343">
            <v>523002</v>
          </cell>
          <cell r="B343" t="str">
            <v>Cámaras de Video</v>
          </cell>
          <cell r="C343" t="str">
            <v>S</v>
          </cell>
        </row>
        <row r="344">
          <cell r="A344">
            <v>529000</v>
          </cell>
          <cell r="B344" t="str">
            <v>Otro mobiliario y equipo educacional y recreativo</v>
          </cell>
          <cell r="C344" t="str">
            <v>N</v>
          </cell>
        </row>
        <row r="345">
          <cell r="A345">
            <v>529001</v>
          </cell>
          <cell r="B345" t="str">
            <v>Instrumentos Musicales</v>
          </cell>
          <cell r="C345" t="str">
            <v>S</v>
          </cell>
        </row>
        <row r="346">
          <cell r="A346">
            <v>529002</v>
          </cell>
          <cell r="B346" t="str">
            <v>Equipo Educacional</v>
          </cell>
          <cell r="C346" t="str">
            <v>S</v>
          </cell>
        </row>
        <row r="347">
          <cell r="A347">
            <v>530000</v>
          </cell>
          <cell r="B347" t="str">
            <v>EQUIPO E INSTRUMENTAL MÉDICO Y DE LABORATORIO</v>
          </cell>
          <cell r="C347" t="str">
            <v>N</v>
          </cell>
        </row>
        <row r="348">
          <cell r="A348">
            <v>531000</v>
          </cell>
          <cell r="B348" t="str">
            <v>Equipo médico y de laboratorio</v>
          </cell>
          <cell r="C348" t="str">
            <v>N</v>
          </cell>
        </row>
        <row r="349">
          <cell r="A349">
            <v>531001</v>
          </cell>
          <cell r="B349" t="str">
            <v>Equipo e instrumental medico</v>
          </cell>
          <cell r="C349" t="str">
            <v>S</v>
          </cell>
        </row>
        <row r="350">
          <cell r="A350">
            <v>532000</v>
          </cell>
          <cell r="B350" t="str">
            <v>Instrumental médico y de laboratorio</v>
          </cell>
          <cell r="C350" t="str">
            <v>N</v>
          </cell>
        </row>
        <row r="351">
          <cell r="A351">
            <v>532001</v>
          </cell>
          <cell r="B351" t="str">
            <v>Instrumental médico y de laboratorio</v>
          </cell>
          <cell r="C351" t="str">
            <v>S</v>
          </cell>
        </row>
        <row r="352">
          <cell r="A352">
            <v>540000</v>
          </cell>
          <cell r="B352" t="str">
            <v>VEHÍCULOS Y EQUIPO DE TRANSPORTE</v>
          </cell>
          <cell r="C352" t="str">
            <v>N</v>
          </cell>
        </row>
        <row r="353">
          <cell r="A353">
            <v>541000</v>
          </cell>
          <cell r="B353" t="str">
            <v>Automóviles y camiones</v>
          </cell>
          <cell r="C353" t="str">
            <v>N</v>
          </cell>
        </row>
        <row r="354">
          <cell r="A354">
            <v>541001</v>
          </cell>
          <cell r="B354" t="str">
            <v>Vehículos y equipo terrestre</v>
          </cell>
          <cell r="C354" t="str">
            <v>S</v>
          </cell>
        </row>
        <row r="355">
          <cell r="A355">
            <v>542000</v>
          </cell>
          <cell r="B355" t="str">
            <v>Carrocerías y remolques</v>
          </cell>
          <cell r="C355" t="str">
            <v>N</v>
          </cell>
        </row>
        <row r="356">
          <cell r="A356">
            <v>542001</v>
          </cell>
          <cell r="B356" t="str">
            <v>Carrocerías y remolques</v>
          </cell>
          <cell r="C356" t="str">
            <v>S</v>
          </cell>
        </row>
        <row r="357">
          <cell r="A357">
            <v>543000</v>
          </cell>
          <cell r="B357" t="str">
            <v>Equipo aeroespacial</v>
          </cell>
          <cell r="C357" t="str">
            <v>N</v>
          </cell>
        </row>
        <row r="358">
          <cell r="A358">
            <v>543001</v>
          </cell>
          <cell r="B358" t="str">
            <v>Vehículos y equipo de transporte aéreo</v>
          </cell>
          <cell r="C358" t="str">
            <v>S</v>
          </cell>
        </row>
        <row r="359">
          <cell r="A359">
            <v>544000</v>
          </cell>
          <cell r="B359" t="str">
            <v>Equipo ferroviario</v>
          </cell>
          <cell r="C359" t="str">
            <v>N</v>
          </cell>
        </row>
        <row r="360">
          <cell r="A360">
            <v>544001</v>
          </cell>
          <cell r="B360" t="str">
            <v>Equipo ferroviario</v>
          </cell>
          <cell r="C360" t="str">
            <v>S</v>
          </cell>
        </row>
        <row r="361">
          <cell r="A361">
            <v>545000</v>
          </cell>
          <cell r="B361" t="str">
            <v>Embarcaciones</v>
          </cell>
          <cell r="C361" t="str">
            <v>N</v>
          </cell>
        </row>
        <row r="362">
          <cell r="A362">
            <v>545001</v>
          </cell>
          <cell r="B362" t="str">
            <v>Vehículos y equipo marino</v>
          </cell>
          <cell r="C362" t="str">
            <v>S</v>
          </cell>
        </row>
        <row r="363">
          <cell r="A363">
            <v>549000</v>
          </cell>
          <cell r="B363" t="str">
            <v>Otros Equipos de Transporte</v>
          </cell>
          <cell r="C363" t="str">
            <v>N</v>
          </cell>
        </row>
        <row r="364">
          <cell r="A364">
            <v>549001</v>
          </cell>
          <cell r="B364" t="str">
            <v>Otros equipos de transporte</v>
          </cell>
          <cell r="C364" t="str">
            <v>S</v>
          </cell>
        </row>
        <row r="365">
          <cell r="A365">
            <v>550000</v>
          </cell>
          <cell r="B365" t="str">
            <v>EQUIPO DE DEFENSA Y SEGURIDAD</v>
          </cell>
          <cell r="C365" t="str">
            <v>N</v>
          </cell>
        </row>
        <row r="366">
          <cell r="A366">
            <v>551000</v>
          </cell>
          <cell r="B366" t="str">
            <v>Equipo de defensa y seguridad</v>
          </cell>
          <cell r="C366" t="str">
            <v>N</v>
          </cell>
        </row>
        <row r="367">
          <cell r="A367">
            <v>551001</v>
          </cell>
          <cell r="B367" t="str">
            <v>Equipo de defensa y seguridad pública</v>
          </cell>
          <cell r="C367" t="str">
            <v>S</v>
          </cell>
        </row>
        <row r="368">
          <cell r="A368">
            <v>560000</v>
          </cell>
          <cell r="B368" t="str">
            <v>MAQUINARIA, OTROS EQUIPOS Y HERRAMIENTAS</v>
          </cell>
          <cell r="C368" t="str">
            <v>N</v>
          </cell>
        </row>
        <row r="369">
          <cell r="A369">
            <v>561000</v>
          </cell>
          <cell r="B369" t="str">
            <v>Maquinaria y equipo agropecuario</v>
          </cell>
          <cell r="C369" t="str">
            <v>N</v>
          </cell>
        </row>
        <row r="370">
          <cell r="A370">
            <v>561001</v>
          </cell>
          <cell r="B370" t="str">
            <v>Maquinaria y equipo agropecuario, industrial y de construcción</v>
          </cell>
          <cell r="C370" t="str">
            <v>S</v>
          </cell>
        </row>
        <row r="371">
          <cell r="A371">
            <v>562000</v>
          </cell>
          <cell r="B371" t="str">
            <v>Maquinaria y equipo industrial</v>
          </cell>
          <cell r="C371" t="str">
            <v>N</v>
          </cell>
        </row>
        <row r="372">
          <cell r="A372">
            <v>562001</v>
          </cell>
          <cell r="B372" t="str">
            <v>Bombas Industriales</v>
          </cell>
          <cell r="C372" t="str">
            <v>S</v>
          </cell>
        </row>
        <row r="373">
          <cell r="A373">
            <v>563000</v>
          </cell>
          <cell r="B373" t="str">
            <v>Maquinaria y equipo de construcción</v>
          </cell>
          <cell r="C373" t="str">
            <v>N</v>
          </cell>
        </row>
        <row r="374">
          <cell r="A374">
            <v>563001</v>
          </cell>
          <cell r="B374" t="str">
            <v>Maquinaria y equipo de construcción</v>
          </cell>
          <cell r="C374" t="str">
            <v>S</v>
          </cell>
        </row>
        <row r="375">
          <cell r="A375">
            <v>564000</v>
          </cell>
          <cell r="B375" t="str">
            <v>Sistemas de aire acondicionado, calefacción y de refrigeración industrial y comercial</v>
          </cell>
          <cell r="C375" t="str">
            <v>N</v>
          </cell>
        </row>
        <row r="376">
          <cell r="A376">
            <v>564001</v>
          </cell>
          <cell r="B376" t="str">
            <v>Sistemas de aire acondicionado, calefacción y de refrigeración industrial y comercial</v>
          </cell>
          <cell r="C376" t="str">
            <v>S</v>
          </cell>
        </row>
        <row r="377">
          <cell r="A377">
            <v>565000</v>
          </cell>
          <cell r="B377" t="str">
            <v>Equipo de comunicación y telecomunicación</v>
          </cell>
          <cell r="C377" t="str">
            <v>N</v>
          </cell>
        </row>
        <row r="378">
          <cell r="A378">
            <v>565001</v>
          </cell>
          <cell r="B378" t="str">
            <v>Maq. y equipo de telecomunicaciones, eléctrica y electrónica</v>
          </cell>
          <cell r="C378" t="str">
            <v>S</v>
          </cell>
        </row>
        <row r="379">
          <cell r="A379">
            <v>566000</v>
          </cell>
          <cell r="B379" t="str">
            <v>Equipos de generación eléctrica, aparatos y accesorios eléctricos</v>
          </cell>
          <cell r="C379" t="str">
            <v>N</v>
          </cell>
        </row>
        <row r="380">
          <cell r="A380">
            <v>566001</v>
          </cell>
          <cell r="B380" t="str">
            <v>Equipos de generación eléctrica</v>
          </cell>
          <cell r="C380" t="str">
            <v>S</v>
          </cell>
        </row>
        <row r="381">
          <cell r="A381">
            <v>566002</v>
          </cell>
          <cell r="B381" t="str">
            <v>Aparatos y Accesorios eléctricos</v>
          </cell>
          <cell r="C381" t="str">
            <v>S</v>
          </cell>
        </row>
        <row r="382">
          <cell r="A382">
            <v>567000</v>
          </cell>
          <cell r="B382" t="str">
            <v>Herramientas y máquinas-herramienta</v>
          </cell>
          <cell r="C382" t="str">
            <v>N</v>
          </cell>
        </row>
        <row r="383">
          <cell r="A383">
            <v>567001</v>
          </cell>
          <cell r="B383" t="str">
            <v>Herramientas y refacciones mayores</v>
          </cell>
          <cell r="C383" t="str">
            <v>S</v>
          </cell>
        </row>
        <row r="384">
          <cell r="A384">
            <v>569000</v>
          </cell>
          <cell r="B384" t="str">
            <v>Otros equipos</v>
          </cell>
          <cell r="C384" t="str">
            <v>N</v>
          </cell>
        </row>
        <row r="385">
          <cell r="A385">
            <v>569001</v>
          </cell>
          <cell r="B385" t="str">
            <v>Maquinaria y equipo diverso</v>
          </cell>
          <cell r="C385" t="str">
            <v>S</v>
          </cell>
        </row>
        <row r="386">
          <cell r="A386">
            <v>570000</v>
          </cell>
          <cell r="B386" t="str">
            <v>ACTIVOS BIOLÓGICOS</v>
          </cell>
          <cell r="C386" t="str">
            <v>N</v>
          </cell>
        </row>
        <row r="387">
          <cell r="A387">
            <v>571000</v>
          </cell>
          <cell r="B387" t="str">
            <v>Bovinos</v>
          </cell>
          <cell r="C387" t="str">
            <v>N</v>
          </cell>
        </row>
        <row r="388">
          <cell r="A388">
            <v>571001</v>
          </cell>
          <cell r="B388" t="str">
            <v>Bovinos</v>
          </cell>
          <cell r="C388" t="str">
            <v>S</v>
          </cell>
        </row>
        <row r="389">
          <cell r="A389">
            <v>572000</v>
          </cell>
          <cell r="B389" t="str">
            <v>Porcinos</v>
          </cell>
          <cell r="C389" t="str">
            <v>N</v>
          </cell>
        </row>
        <row r="390">
          <cell r="A390">
            <v>572001</v>
          </cell>
          <cell r="B390" t="str">
            <v>Porcinos</v>
          </cell>
          <cell r="C390" t="str">
            <v>S</v>
          </cell>
        </row>
        <row r="391">
          <cell r="A391">
            <v>573000</v>
          </cell>
          <cell r="B391" t="str">
            <v>Aves</v>
          </cell>
          <cell r="C391" t="str">
            <v>N</v>
          </cell>
        </row>
        <row r="392">
          <cell r="A392">
            <v>573001</v>
          </cell>
          <cell r="B392" t="str">
            <v>Aves</v>
          </cell>
          <cell r="C392" t="str">
            <v>S</v>
          </cell>
        </row>
        <row r="393">
          <cell r="A393">
            <v>574000</v>
          </cell>
          <cell r="B393" t="str">
            <v>Ovinos y caprinos</v>
          </cell>
          <cell r="C393" t="str">
            <v>N</v>
          </cell>
        </row>
        <row r="394">
          <cell r="A394">
            <v>574001</v>
          </cell>
          <cell r="B394" t="str">
            <v>Ovinos y caprinos</v>
          </cell>
          <cell r="C394" t="str">
            <v>S</v>
          </cell>
        </row>
        <row r="395">
          <cell r="A395">
            <v>575000</v>
          </cell>
          <cell r="B395" t="str">
            <v>Peces y acuicultura</v>
          </cell>
          <cell r="C395" t="str">
            <v>N</v>
          </cell>
        </row>
        <row r="396">
          <cell r="A396">
            <v>575001</v>
          </cell>
          <cell r="B396" t="str">
            <v>Peces y acuicultura</v>
          </cell>
          <cell r="C396" t="str">
            <v>S</v>
          </cell>
        </row>
        <row r="397">
          <cell r="A397">
            <v>576000</v>
          </cell>
          <cell r="B397" t="str">
            <v>Equinos</v>
          </cell>
          <cell r="C397" t="str">
            <v>N</v>
          </cell>
        </row>
        <row r="398">
          <cell r="A398">
            <v>576001</v>
          </cell>
          <cell r="B398" t="str">
            <v>Equinos</v>
          </cell>
          <cell r="C398" t="str">
            <v>S</v>
          </cell>
        </row>
        <row r="399">
          <cell r="A399">
            <v>577000</v>
          </cell>
          <cell r="B399" t="str">
            <v>Especies menores y de zoológico</v>
          </cell>
          <cell r="C399" t="str">
            <v>N</v>
          </cell>
        </row>
        <row r="400">
          <cell r="A400">
            <v>577001</v>
          </cell>
          <cell r="B400" t="str">
            <v>Especies menores y de zoológico</v>
          </cell>
          <cell r="C400" t="str">
            <v>S</v>
          </cell>
        </row>
        <row r="401">
          <cell r="A401">
            <v>578000</v>
          </cell>
          <cell r="B401" t="str">
            <v>Árboles y plantas</v>
          </cell>
          <cell r="C401" t="str">
            <v>N</v>
          </cell>
        </row>
        <row r="402">
          <cell r="A402">
            <v>578001</v>
          </cell>
          <cell r="B402" t="str">
            <v>Árboles y plantas</v>
          </cell>
          <cell r="C402" t="str">
            <v>S</v>
          </cell>
        </row>
        <row r="403">
          <cell r="A403">
            <v>579000</v>
          </cell>
          <cell r="B403" t="str">
            <v>Otros activos biológicos</v>
          </cell>
          <cell r="C403" t="str">
            <v>N</v>
          </cell>
        </row>
        <row r="404">
          <cell r="A404">
            <v>579001</v>
          </cell>
          <cell r="B404" t="str">
            <v>Otros activos biológicos</v>
          </cell>
          <cell r="C404" t="str">
            <v>S</v>
          </cell>
        </row>
        <row r="405">
          <cell r="A405">
            <v>580000</v>
          </cell>
          <cell r="B405" t="str">
            <v>BIENES INMUEBLES</v>
          </cell>
          <cell r="C405" t="str">
            <v>N</v>
          </cell>
        </row>
        <row r="406">
          <cell r="A406">
            <v>581000</v>
          </cell>
          <cell r="B406" t="str">
            <v>Terrenos</v>
          </cell>
          <cell r="C406" t="str">
            <v>N</v>
          </cell>
        </row>
        <row r="407">
          <cell r="A407">
            <v>581001</v>
          </cell>
          <cell r="B407" t="str">
            <v>Terrenos</v>
          </cell>
          <cell r="C407" t="str">
            <v>S</v>
          </cell>
        </row>
        <row r="408">
          <cell r="A408">
            <v>582000</v>
          </cell>
          <cell r="B408" t="str">
            <v>Viviendas</v>
          </cell>
          <cell r="C408" t="str">
            <v>N</v>
          </cell>
        </row>
        <row r="409">
          <cell r="A409">
            <v>582001</v>
          </cell>
          <cell r="B409" t="str">
            <v>Viviendas</v>
          </cell>
          <cell r="C409" t="str">
            <v>S</v>
          </cell>
        </row>
        <row r="410">
          <cell r="A410">
            <v>583000</v>
          </cell>
          <cell r="B410" t="str">
            <v>Edificios no residenciales</v>
          </cell>
          <cell r="C410" t="str">
            <v>N</v>
          </cell>
        </row>
        <row r="411">
          <cell r="A411">
            <v>583001</v>
          </cell>
          <cell r="B411" t="str">
            <v>Edificios y locales</v>
          </cell>
          <cell r="C411" t="str">
            <v>S</v>
          </cell>
        </row>
        <row r="412">
          <cell r="A412">
            <v>589000</v>
          </cell>
          <cell r="B412" t="str">
            <v>Otros bienes inmuebles</v>
          </cell>
          <cell r="C412" t="str">
            <v>N</v>
          </cell>
        </row>
        <row r="413">
          <cell r="A413">
            <v>589001</v>
          </cell>
          <cell r="B413" t="str">
            <v>Adjudicaciones, expropiaciones e indemnizaciones de inmuebles</v>
          </cell>
          <cell r="C413" t="str">
            <v>S</v>
          </cell>
        </row>
        <row r="414">
          <cell r="A414">
            <v>590000</v>
          </cell>
          <cell r="B414" t="str">
            <v>ACTIVOS INTANGIBLES</v>
          </cell>
          <cell r="C414" t="str">
            <v>N</v>
          </cell>
        </row>
        <row r="415">
          <cell r="A415">
            <v>591000</v>
          </cell>
          <cell r="B415" t="str">
            <v>Software</v>
          </cell>
          <cell r="C415" t="str">
            <v>N</v>
          </cell>
        </row>
        <row r="416">
          <cell r="A416">
            <v>591001</v>
          </cell>
          <cell r="B416" t="str">
            <v>Software</v>
          </cell>
          <cell r="C416" t="str">
            <v>S</v>
          </cell>
        </row>
        <row r="417">
          <cell r="A417">
            <v>592000</v>
          </cell>
          <cell r="B417" t="str">
            <v>Patentes</v>
          </cell>
          <cell r="C417" t="str">
            <v>N</v>
          </cell>
        </row>
        <row r="418">
          <cell r="A418">
            <v>592001</v>
          </cell>
          <cell r="B418" t="str">
            <v>Patentes</v>
          </cell>
          <cell r="C418" t="str">
            <v>S</v>
          </cell>
        </row>
        <row r="419">
          <cell r="A419">
            <v>593000</v>
          </cell>
          <cell r="B419" t="str">
            <v>Marcas</v>
          </cell>
          <cell r="C419" t="str">
            <v>N</v>
          </cell>
        </row>
        <row r="420">
          <cell r="A420">
            <v>593001</v>
          </cell>
          <cell r="B420" t="str">
            <v>Marcas</v>
          </cell>
          <cell r="C420" t="str">
            <v>S</v>
          </cell>
        </row>
        <row r="421">
          <cell r="A421">
            <v>594000</v>
          </cell>
          <cell r="B421" t="str">
            <v>Derechos</v>
          </cell>
          <cell r="C421" t="str">
            <v>N</v>
          </cell>
        </row>
        <row r="422">
          <cell r="A422">
            <v>594001</v>
          </cell>
          <cell r="B422" t="str">
            <v>Derechos</v>
          </cell>
          <cell r="C422" t="str">
            <v>S</v>
          </cell>
        </row>
        <row r="423">
          <cell r="A423">
            <v>595000</v>
          </cell>
          <cell r="B423" t="str">
            <v>Concesiones</v>
          </cell>
          <cell r="C423" t="str">
            <v>N</v>
          </cell>
        </row>
        <row r="424">
          <cell r="A424">
            <v>595001</v>
          </cell>
          <cell r="B424" t="str">
            <v>Concesiones</v>
          </cell>
          <cell r="C424" t="str">
            <v>S</v>
          </cell>
        </row>
        <row r="425">
          <cell r="A425">
            <v>596000</v>
          </cell>
          <cell r="B425" t="str">
            <v>Franquicias</v>
          </cell>
          <cell r="C425" t="str">
            <v>N</v>
          </cell>
        </row>
        <row r="426">
          <cell r="A426">
            <v>596001</v>
          </cell>
          <cell r="B426" t="str">
            <v>Franquicias</v>
          </cell>
          <cell r="C426" t="str">
            <v>S</v>
          </cell>
        </row>
        <row r="427">
          <cell r="A427">
            <v>597000</v>
          </cell>
          <cell r="B427" t="str">
            <v>Licencias informáticas e intelectuales</v>
          </cell>
          <cell r="C427" t="str">
            <v>N</v>
          </cell>
        </row>
        <row r="428">
          <cell r="A428">
            <v>597001</v>
          </cell>
          <cell r="B428" t="str">
            <v>Licencias para programas de antivirus</v>
          </cell>
          <cell r="C428" t="str">
            <v>S</v>
          </cell>
        </row>
        <row r="429">
          <cell r="A429">
            <v>597002</v>
          </cell>
          <cell r="B429" t="str">
            <v>Licencias Microsoft Windows server 2003 edición estándar</v>
          </cell>
          <cell r="C429" t="str">
            <v>S</v>
          </cell>
        </row>
        <row r="430">
          <cell r="A430">
            <v>598000</v>
          </cell>
          <cell r="B430" t="str">
            <v>Licencias industriales, comerciales y otras</v>
          </cell>
          <cell r="C430" t="str">
            <v>N</v>
          </cell>
        </row>
        <row r="431">
          <cell r="A431">
            <v>598001</v>
          </cell>
          <cell r="B431" t="str">
            <v>Licencias industriales, comerciales y otras</v>
          </cell>
          <cell r="C431" t="str">
            <v>S</v>
          </cell>
        </row>
        <row r="432">
          <cell r="A432">
            <v>599000</v>
          </cell>
          <cell r="B432" t="str">
            <v>Otros activos intangibles</v>
          </cell>
          <cell r="C432" t="str">
            <v>N</v>
          </cell>
        </row>
        <row r="433">
          <cell r="A433">
            <v>599001</v>
          </cell>
          <cell r="B433" t="str">
            <v>Otros activos intangibles</v>
          </cell>
          <cell r="C433" t="str">
            <v>S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AS"/>
      <sheetName val="PAAS CAPITULO 2000"/>
      <sheetName val="CAPITULO"/>
      <sheetName val="PARTIDA"/>
      <sheetName val="COG"/>
      <sheetName val="FF"/>
      <sheetName val="PROCED"/>
    </sheetNames>
    <sheetDataSet>
      <sheetData sheetId="0"/>
      <sheetData sheetId="1"/>
      <sheetData sheetId="2"/>
      <sheetData sheetId="3"/>
      <sheetData sheetId="4">
        <row r="1">
          <cell r="A1" t="str">
            <v>CUENTA</v>
          </cell>
          <cell r="B1" t="str">
            <v>CONCEPTO</v>
          </cell>
          <cell r="C1" t="str">
            <v>AFECTABLE/ NO
AFECTABLE</v>
          </cell>
        </row>
        <row r="2">
          <cell r="A2">
            <v>210000</v>
          </cell>
          <cell r="B2" t="str">
            <v>MATERIALES DE ADMINISTRACIÓN, EMISIÓN DE DOCUMENTOS Y ARTÍCULO OFICIALES</v>
          </cell>
          <cell r="C2" t="str">
            <v>N</v>
          </cell>
        </row>
        <row r="3">
          <cell r="A3">
            <v>211000</v>
          </cell>
          <cell r="B3" t="str">
            <v>Materiales, útiles y equipos menores de oficina</v>
          </cell>
          <cell r="C3" t="str">
            <v>N</v>
          </cell>
        </row>
        <row r="4">
          <cell r="A4">
            <v>211001</v>
          </cell>
          <cell r="B4" t="str">
            <v>Material de oficina</v>
          </cell>
          <cell r="C4" t="str">
            <v>S</v>
          </cell>
        </row>
        <row r="5">
          <cell r="A5">
            <v>212000</v>
          </cell>
          <cell r="B5" t="str">
            <v>Materiales y útiles de impresión y reproducción</v>
          </cell>
          <cell r="C5" t="str">
            <v>N</v>
          </cell>
        </row>
        <row r="6">
          <cell r="A6">
            <v>212001</v>
          </cell>
          <cell r="B6" t="str">
            <v>Material y útiles de impresión</v>
          </cell>
          <cell r="C6" t="str">
            <v>S</v>
          </cell>
        </row>
        <row r="7">
          <cell r="A7">
            <v>213000</v>
          </cell>
          <cell r="B7" t="str">
            <v>Material estadístico y geográfico</v>
          </cell>
          <cell r="C7" t="str">
            <v>N</v>
          </cell>
        </row>
        <row r="8">
          <cell r="A8">
            <v>213001</v>
          </cell>
          <cell r="B8" t="str">
            <v>Material estadístico y geográfico</v>
          </cell>
          <cell r="C8" t="str">
            <v>S</v>
          </cell>
        </row>
        <row r="9">
          <cell r="A9">
            <v>214000</v>
          </cell>
          <cell r="B9" t="str">
            <v>Materiales, útiles y equipos menores de tecnologías de la información y comunicaciones</v>
          </cell>
          <cell r="C9" t="str">
            <v>N</v>
          </cell>
        </row>
        <row r="10">
          <cell r="A10">
            <v>214001</v>
          </cell>
          <cell r="B10" t="str">
            <v>Materiales, útiles y equipos menores de tecnologías de la información y comunicaciones</v>
          </cell>
          <cell r="C10" t="str">
            <v>S</v>
          </cell>
        </row>
        <row r="11">
          <cell r="A11">
            <v>215000</v>
          </cell>
          <cell r="B11" t="str">
            <v>Material impreso e información digital</v>
          </cell>
          <cell r="C11" t="str">
            <v>N</v>
          </cell>
        </row>
        <row r="12">
          <cell r="A12">
            <v>215001</v>
          </cell>
          <cell r="B12" t="str">
            <v>Material didáctico</v>
          </cell>
          <cell r="C12" t="str">
            <v>S</v>
          </cell>
        </row>
        <row r="13">
          <cell r="A13">
            <v>215002</v>
          </cell>
          <cell r="B13" t="str">
            <v>Suscripciones a Periódicos, Revistas y Publicaciones Especializadas</v>
          </cell>
          <cell r="C13" t="str">
            <v>S</v>
          </cell>
        </row>
        <row r="14">
          <cell r="A14">
            <v>215003</v>
          </cell>
          <cell r="B14" t="str">
            <v>Material impreso e información digital</v>
          </cell>
          <cell r="C14" t="str">
            <v>S</v>
          </cell>
        </row>
        <row r="15">
          <cell r="A15">
            <v>216000</v>
          </cell>
          <cell r="B15" t="str">
            <v>Material de limpieza</v>
          </cell>
          <cell r="C15" t="str">
            <v>N</v>
          </cell>
        </row>
        <row r="16">
          <cell r="A16">
            <v>216001</v>
          </cell>
          <cell r="B16" t="str">
            <v>Material de limpieza</v>
          </cell>
          <cell r="C16" t="str">
            <v>S</v>
          </cell>
        </row>
        <row r="17">
          <cell r="A17">
            <v>217000</v>
          </cell>
          <cell r="B17" t="str">
            <v>Materiales y útiles de enseñanza</v>
          </cell>
          <cell r="C17" t="str">
            <v>N</v>
          </cell>
        </row>
        <row r="18">
          <cell r="A18">
            <v>217001</v>
          </cell>
          <cell r="B18" t="str">
            <v>Materiales y útiles de enseñanza</v>
          </cell>
          <cell r="C18" t="str">
            <v>S</v>
          </cell>
        </row>
        <row r="19">
          <cell r="A19">
            <v>218000</v>
          </cell>
          <cell r="B19" t="str">
            <v>Materiales para el registro e identificación de bienes y personas</v>
          </cell>
          <cell r="C19" t="str">
            <v>N</v>
          </cell>
        </row>
        <row r="20">
          <cell r="A20">
            <v>218001</v>
          </cell>
          <cell r="B20" t="str">
            <v>Materiales para el registro e identificación de bienes y personas</v>
          </cell>
          <cell r="C20" t="str">
            <v>S</v>
          </cell>
        </row>
        <row r="21">
          <cell r="A21">
            <v>218002</v>
          </cell>
          <cell r="B21" t="str">
            <v>Placas, Engomados, Calcomanías y Hologramas</v>
          </cell>
          <cell r="C21" t="str">
            <v>S</v>
          </cell>
        </row>
        <row r="22">
          <cell r="A22">
            <v>218003</v>
          </cell>
          <cell r="B22" t="str">
            <v>Emisión de Licencias de Conducir</v>
          </cell>
          <cell r="C22" t="str">
            <v>S</v>
          </cell>
        </row>
        <row r="23">
          <cell r="A23">
            <v>218004</v>
          </cell>
          <cell r="B23" t="str">
            <v>Emisión de Formatos Únicos de Control Vehicular</v>
          </cell>
          <cell r="C23" t="str">
            <v>S</v>
          </cell>
        </row>
        <row r="24">
          <cell r="A24">
            <v>220000</v>
          </cell>
          <cell r="B24" t="str">
            <v>ALIMENTOS Y UTENSILIOS</v>
          </cell>
          <cell r="C24" t="str">
            <v>N</v>
          </cell>
        </row>
        <row r="25">
          <cell r="A25">
            <v>221000</v>
          </cell>
          <cell r="B25" t="str">
            <v>Productos alimenticios para personas</v>
          </cell>
          <cell r="C25" t="str">
            <v>N</v>
          </cell>
        </row>
        <row r="26">
          <cell r="A26">
            <v>221001</v>
          </cell>
          <cell r="B26" t="str">
            <v>Alimentación de personas</v>
          </cell>
          <cell r="C26" t="str">
            <v>S</v>
          </cell>
        </row>
        <row r="27">
          <cell r="A27">
            <v>222000</v>
          </cell>
          <cell r="B27" t="str">
            <v>Productos alimenticios para animales</v>
          </cell>
          <cell r="C27" t="str">
            <v>N</v>
          </cell>
        </row>
        <row r="28">
          <cell r="A28">
            <v>222001</v>
          </cell>
          <cell r="B28" t="str">
            <v>Alimentación de animales</v>
          </cell>
          <cell r="C28" t="str">
            <v>S</v>
          </cell>
        </row>
        <row r="29">
          <cell r="A29">
            <v>223000</v>
          </cell>
          <cell r="B29" t="str">
            <v>Utensilios para el servicio de alimentación</v>
          </cell>
          <cell r="C29" t="str">
            <v>N</v>
          </cell>
        </row>
        <row r="30">
          <cell r="A30">
            <v>223001</v>
          </cell>
          <cell r="B30" t="str">
            <v>Utensilios para el servicio de alimentación</v>
          </cell>
          <cell r="C30" t="str">
            <v>S</v>
          </cell>
        </row>
        <row r="31">
          <cell r="A31">
            <v>230000</v>
          </cell>
          <cell r="B31" t="str">
            <v>MATERIAS PRIMAS Y MATERIALES DE PRODUCCIÓN Y COMERCIALIZACIÓN</v>
          </cell>
          <cell r="C31" t="str">
            <v>N</v>
          </cell>
        </row>
        <row r="32">
          <cell r="A32">
            <v>231000</v>
          </cell>
          <cell r="B32" t="str">
            <v>Productos alimenticios, agropecuarios y forestales adquiridos como materia prima</v>
          </cell>
          <cell r="C32" t="str">
            <v>N</v>
          </cell>
        </row>
        <row r="33">
          <cell r="A33">
            <v>231001</v>
          </cell>
          <cell r="B33" t="str">
            <v>Materias primas para producción</v>
          </cell>
          <cell r="C33" t="str">
            <v>S</v>
          </cell>
        </row>
        <row r="34">
          <cell r="A34">
            <v>232000</v>
          </cell>
          <cell r="B34" t="str">
            <v>Insumos textiles adquiridos como materia prima</v>
          </cell>
          <cell r="C34" t="str">
            <v>N</v>
          </cell>
        </row>
        <row r="35">
          <cell r="A35">
            <v>232001</v>
          </cell>
          <cell r="B35" t="str">
            <v>Insumos textiles adquiridos como materia prima</v>
          </cell>
          <cell r="C35" t="str">
            <v>S</v>
          </cell>
        </row>
        <row r="36">
          <cell r="A36">
            <v>233000</v>
          </cell>
          <cell r="B36" t="str">
            <v>Productos de papel, cartón e impresos adquiridos como materia prima</v>
          </cell>
          <cell r="C36" t="str">
            <v>N</v>
          </cell>
        </row>
        <row r="37">
          <cell r="A37">
            <v>233001</v>
          </cell>
          <cell r="B37" t="str">
            <v>Productos de papel, cartón e impresos adquiridos como materia prima</v>
          </cell>
          <cell r="C37" t="str">
            <v>S</v>
          </cell>
        </row>
        <row r="38">
          <cell r="A38">
            <v>234000</v>
          </cell>
          <cell r="B38" t="str">
            <v>Combustibles, lubricantes, aditivos, carbón y sus derivados adquiridos como materia prima</v>
          </cell>
          <cell r="C38" t="str">
            <v>N</v>
          </cell>
        </row>
        <row r="39">
          <cell r="A39">
            <v>234001</v>
          </cell>
          <cell r="B39" t="str">
            <v>Combustibles, lubricantes, aditivos, carbón y sus derivados adquiridos como materia prima</v>
          </cell>
          <cell r="C39" t="str">
            <v>S</v>
          </cell>
        </row>
        <row r="40">
          <cell r="A40">
            <v>235000</v>
          </cell>
          <cell r="B40" t="str">
            <v>Productos químicos, farmacéuticos y de laboratorio adquiridos como materia prima</v>
          </cell>
          <cell r="C40" t="str">
            <v>N</v>
          </cell>
        </row>
        <row r="41">
          <cell r="A41">
            <v>235001</v>
          </cell>
          <cell r="B41" t="str">
            <v>Productos químicos, farmacéuticos y de laboratorio adquiridos como materia prima</v>
          </cell>
          <cell r="C41" t="str">
            <v>S</v>
          </cell>
        </row>
        <row r="42">
          <cell r="A42">
            <v>236000</v>
          </cell>
          <cell r="B42" t="str">
            <v>Productos metálicos y a base de minerales no metálicos adquiridos como materia prima</v>
          </cell>
          <cell r="C42" t="str">
            <v>N</v>
          </cell>
        </row>
        <row r="43">
          <cell r="A43">
            <v>236001</v>
          </cell>
          <cell r="B43" t="str">
            <v>Productos metálicos y a base de minerales no metálicos adquiridos como materia prima</v>
          </cell>
          <cell r="C43" t="str">
            <v>S</v>
          </cell>
        </row>
        <row r="44">
          <cell r="A44">
            <v>237000</v>
          </cell>
          <cell r="B44" t="str">
            <v>Productos de cuero, piel, plástico y hule adquiridos como materia prima</v>
          </cell>
          <cell r="C44" t="str">
            <v>N</v>
          </cell>
        </row>
        <row r="45">
          <cell r="A45">
            <v>237001</v>
          </cell>
          <cell r="B45" t="str">
            <v>Productos de cuero, piel, plástico y hule adquiridos como materia prima</v>
          </cell>
          <cell r="C45" t="str">
            <v>S</v>
          </cell>
        </row>
        <row r="46">
          <cell r="A46">
            <v>238000</v>
          </cell>
          <cell r="B46" t="str">
            <v>Mercancías adquiridas para su comercialización</v>
          </cell>
          <cell r="C46" t="str">
            <v>N</v>
          </cell>
        </row>
        <row r="47">
          <cell r="A47">
            <v>238001</v>
          </cell>
          <cell r="B47" t="str">
            <v>Mercancías adquiridas para su comercialización</v>
          </cell>
          <cell r="C47" t="str">
            <v>S</v>
          </cell>
        </row>
        <row r="48">
          <cell r="A48">
            <v>240000</v>
          </cell>
          <cell r="B48" t="str">
            <v>MATERIALES Y ARTÍCULOS DE CONSTRUCCIÓN Y DE REPARACIÓN</v>
          </cell>
          <cell r="C48" t="str">
            <v>N</v>
          </cell>
        </row>
        <row r="49">
          <cell r="A49">
            <v>241000</v>
          </cell>
          <cell r="B49" t="str">
            <v>Productos minerales no metálicos</v>
          </cell>
          <cell r="C49" t="str">
            <v>N</v>
          </cell>
        </row>
        <row r="50">
          <cell r="A50">
            <v>241001</v>
          </cell>
          <cell r="B50" t="str">
            <v>Productos minerales no metálicos</v>
          </cell>
          <cell r="C50" t="str">
            <v>S</v>
          </cell>
        </row>
        <row r="51">
          <cell r="A51">
            <v>242000</v>
          </cell>
          <cell r="B51" t="str">
            <v>Cemento y productos de concreto</v>
          </cell>
          <cell r="C51" t="str">
            <v>N</v>
          </cell>
        </row>
        <row r="52">
          <cell r="A52">
            <v>242001</v>
          </cell>
          <cell r="B52" t="str">
            <v>Cemento y productos de concreto</v>
          </cell>
          <cell r="C52" t="str">
            <v>S</v>
          </cell>
        </row>
        <row r="53">
          <cell r="A53">
            <v>243000</v>
          </cell>
          <cell r="B53" t="str">
            <v>Cal, yeso y productos de yeso</v>
          </cell>
          <cell r="C53" t="str">
            <v>N</v>
          </cell>
        </row>
        <row r="54">
          <cell r="A54">
            <v>243001</v>
          </cell>
          <cell r="B54" t="str">
            <v>Cal, yeso y productos de yeso</v>
          </cell>
          <cell r="C54" t="str">
            <v>S</v>
          </cell>
        </row>
        <row r="55">
          <cell r="A55">
            <v>244000</v>
          </cell>
          <cell r="B55" t="str">
            <v>Madera y productos de madera</v>
          </cell>
          <cell r="C55" t="str">
            <v>N</v>
          </cell>
        </row>
        <row r="56">
          <cell r="A56">
            <v>244001</v>
          </cell>
          <cell r="B56" t="str">
            <v>Madera y productos de madera</v>
          </cell>
          <cell r="C56" t="str">
            <v>S</v>
          </cell>
        </row>
        <row r="57">
          <cell r="A57">
            <v>245000</v>
          </cell>
          <cell r="B57" t="str">
            <v>Vidrio y productos de vidrio</v>
          </cell>
          <cell r="C57" t="str">
            <v>N</v>
          </cell>
        </row>
        <row r="58">
          <cell r="A58">
            <v>245001</v>
          </cell>
          <cell r="B58" t="str">
            <v>Vidrio y productos de vidrio</v>
          </cell>
          <cell r="C58" t="str">
            <v>S</v>
          </cell>
        </row>
        <row r="59">
          <cell r="A59">
            <v>246000</v>
          </cell>
          <cell r="B59" t="str">
            <v>Material eléctrico y electrónico</v>
          </cell>
          <cell r="C59" t="str">
            <v>N</v>
          </cell>
        </row>
        <row r="60">
          <cell r="A60">
            <v>246001</v>
          </cell>
          <cell r="B60" t="str">
            <v>Material eléctrico</v>
          </cell>
          <cell r="C60" t="str">
            <v>S</v>
          </cell>
        </row>
        <row r="61">
          <cell r="A61">
            <v>246002</v>
          </cell>
          <cell r="B61" t="str">
            <v>Material electrónico</v>
          </cell>
          <cell r="C61" t="str">
            <v>S</v>
          </cell>
        </row>
        <row r="62">
          <cell r="A62">
            <v>247000</v>
          </cell>
          <cell r="B62" t="str">
            <v>Artículos metálicos para la construcción</v>
          </cell>
          <cell r="C62" t="str">
            <v>N</v>
          </cell>
        </row>
        <row r="63">
          <cell r="A63">
            <v>247001</v>
          </cell>
          <cell r="B63" t="str">
            <v>Artículos metálicos para la construcción</v>
          </cell>
          <cell r="C63" t="str">
            <v>S</v>
          </cell>
        </row>
        <row r="64">
          <cell r="A64">
            <v>248000</v>
          </cell>
          <cell r="B64" t="str">
            <v>Materiales complementarios</v>
          </cell>
          <cell r="C64" t="str">
            <v>N</v>
          </cell>
        </row>
        <row r="65">
          <cell r="A65">
            <v>248001</v>
          </cell>
          <cell r="B65" t="str">
            <v>Materiales complementarios</v>
          </cell>
          <cell r="C65" t="str">
            <v>S</v>
          </cell>
        </row>
        <row r="66">
          <cell r="A66">
            <v>249000</v>
          </cell>
          <cell r="B66" t="str">
            <v>Otros materiales y artículos de construcción y reparación</v>
          </cell>
          <cell r="C66" t="str">
            <v>N</v>
          </cell>
        </row>
        <row r="67">
          <cell r="A67">
            <v>249001</v>
          </cell>
          <cell r="B67" t="str">
            <v>Materiales de construcción y complementarios</v>
          </cell>
          <cell r="C67" t="str">
            <v>S</v>
          </cell>
        </row>
        <row r="68">
          <cell r="A68">
            <v>249002</v>
          </cell>
          <cell r="B68" t="str">
            <v>Otros materiales de construcción y reparación</v>
          </cell>
          <cell r="C68" t="str">
            <v>S</v>
          </cell>
        </row>
        <row r="69">
          <cell r="A69">
            <v>250000</v>
          </cell>
          <cell r="B69" t="str">
            <v>PRODUCTOS QUÍMICOS, FARMACÉUTICOS Y DE LABORATORIO</v>
          </cell>
          <cell r="C69" t="str">
            <v>N</v>
          </cell>
        </row>
        <row r="70">
          <cell r="A70">
            <v>251000</v>
          </cell>
          <cell r="B70" t="str">
            <v>Productos químicos básicos</v>
          </cell>
          <cell r="C70" t="str">
            <v>N</v>
          </cell>
        </row>
        <row r="71">
          <cell r="A71">
            <v>251001</v>
          </cell>
          <cell r="B71" t="str">
            <v>Gas Refrigerante</v>
          </cell>
          <cell r="C71" t="str">
            <v>S</v>
          </cell>
        </row>
        <row r="72">
          <cell r="A72">
            <v>252000</v>
          </cell>
          <cell r="B72" t="str">
            <v>Fertilizantes, pesticidas y otros agroquímicos</v>
          </cell>
          <cell r="C72" t="str">
            <v>N</v>
          </cell>
        </row>
        <row r="73">
          <cell r="A73">
            <v>252001</v>
          </cell>
          <cell r="B73" t="str">
            <v>Fertilizantes, pesticidas y otros agroquímicos</v>
          </cell>
          <cell r="C73" t="str">
            <v>S</v>
          </cell>
        </row>
        <row r="74">
          <cell r="A74">
            <v>253000</v>
          </cell>
          <cell r="B74" t="str">
            <v>Medicinas y productos químicos, farmacéuticos</v>
          </cell>
          <cell r="C74" t="str">
            <v>N</v>
          </cell>
        </row>
        <row r="75">
          <cell r="A75">
            <v>253001</v>
          </cell>
          <cell r="B75" t="str">
            <v>Material y productos químicos, farmacéuticos</v>
          </cell>
          <cell r="C75" t="str">
            <v>S</v>
          </cell>
        </row>
        <row r="76">
          <cell r="A76">
            <v>254000</v>
          </cell>
          <cell r="B76" t="str">
            <v>Materiales, accesorios y suministros médicos</v>
          </cell>
          <cell r="C76" t="str">
            <v>N</v>
          </cell>
        </row>
        <row r="77">
          <cell r="A77">
            <v>254001</v>
          </cell>
          <cell r="B77" t="str">
            <v>Materiales, accesorios y suministros médicos</v>
          </cell>
          <cell r="C77" t="str">
            <v>S</v>
          </cell>
        </row>
        <row r="78">
          <cell r="A78">
            <v>255000</v>
          </cell>
          <cell r="B78" t="str">
            <v>Materiales, accesorios y suministros de laboratorio</v>
          </cell>
          <cell r="C78" t="str">
            <v>N</v>
          </cell>
        </row>
        <row r="79">
          <cell r="A79">
            <v>255001</v>
          </cell>
          <cell r="B79" t="str">
            <v>Materiales, accesorios y suministros de laboratorio</v>
          </cell>
          <cell r="C79" t="str">
            <v>S</v>
          </cell>
        </row>
        <row r="80">
          <cell r="A80">
            <v>256000</v>
          </cell>
          <cell r="B80" t="str">
            <v>Fibras sintéticas, hules, plásticos y derivados</v>
          </cell>
          <cell r="C80" t="str">
            <v>N</v>
          </cell>
        </row>
        <row r="81">
          <cell r="A81">
            <v>256001</v>
          </cell>
          <cell r="B81" t="str">
            <v>Fibras sintéticas, hules, plásticos y derivados</v>
          </cell>
          <cell r="C81" t="str">
            <v>S</v>
          </cell>
        </row>
        <row r="82">
          <cell r="A82">
            <v>259000</v>
          </cell>
          <cell r="B82" t="str">
            <v>Otros productos químicos</v>
          </cell>
          <cell r="C82" t="str">
            <v>N</v>
          </cell>
        </row>
        <row r="83">
          <cell r="A83">
            <v>259001</v>
          </cell>
          <cell r="B83" t="str">
            <v>Otros productos químicos</v>
          </cell>
          <cell r="C83" t="str">
            <v>S</v>
          </cell>
        </row>
        <row r="84">
          <cell r="A84">
            <v>260000</v>
          </cell>
          <cell r="B84" t="str">
            <v>COMBUSTIBLES, LUBRICANTES Y ADITIVOS</v>
          </cell>
          <cell r="C84" t="str">
            <v>N</v>
          </cell>
        </row>
        <row r="85">
          <cell r="A85">
            <v>261000</v>
          </cell>
          <cell r="B85" t="str">
            <v>Combustibles, lubricantes y aditivos</v>
          </cell>
          <cell r="C85" t="str">
            <v>N</v>
          </cell>
        </row>
        <row r="86">
          <cell r="A86">
            <v>261001</v>
          </cell>
          <cell r="B86" t="str">
            <v>Combustibles</v>
          </cell>
          <cell r="C86" t="str">
            <v>S</v>
          </cell>
        </row>
        <row r="87">
          <cell r="A87">
            <v>261002</v>
          </cell>
          <cell r="B87" t="str">
            <v>Lubricantes y aditivos</v>
          </cell>
          <cell r="C87" t="str">
            <v>S</v>
          </cell>
        </row>
        <row r="88">
          <cell r="A88">
            <v>262000</v>
          </cell>
          <cell r="B88" t="str">
            <v>Carbón y sus derivados</v>
          </cell>
          <cell r="C88" t="str">
            <v>N</v>
          </cell>
        </row>
        <row r="89">
          <cell r="A89">
            <v>262001</v>
          </cell>
          <cell r="B89" t="str">
            <v>Carbón y sus derivados</v>
          </cell>
          <cell r="C89" t="str">
            <v>S</v>
          </cell>
        </row>
        <row r="90">
          <cell r="A90">
            <v>270000</v>
          </cell>
          <cell r="B90" t="str">
            <v>VESTUARIO, BLANCOS, PRENDAS DE PROTECCIÓN Y ARTÍCULOS DEPORTIVOS</v>
          </cell>
          <cell r="C90" t="str">
            <v>N</v>
          </cell>
        </row>
        <row r="91">
          <cell r="A91">
            <v>271000</v>
          </cell>
          <cell r="B91" t="str">
            <v>Vestuario y uniformes</v>
          </cell>
          <cell r="C91" t="str">
            <v>N</v>
          </cell>
        </row>
        <row r="92">
          <cell r="A92">
            <v>271001</v>
          </cell>
          <cell r="B92" t="str">
            <v>Ropa, vestuario y equipo</v>
          </cell>
          <cell r="C92" t="str">
            <v>S</v>
          </cell>
        </row>
        <row r="93">
          <cell r="A93">
            <v>272000</v>
          </cell>
          <cell r="B93" t="str">
            <v>Prendas de seguridad y protección personal</v>
          </cell>
          <cell r="C93" t="str">
            <v>N</v>
          </cell>
        </row>
        <row r="94">
          <cell r="A94">
            <v>272001</v>
          </cell>
          <cell r="B94" t="str">
            <v>Materiales explosivos y de seguridad pública</v>
          </cell>
          <cell r="C94" t="str">
            <v>S</v>
          </cell>
        </row>
        <row r="95">
          <cell r="A95">
            <v>272002</v>
          </cell>
          <cell r="B95" t="str">
            <v>Prendas de seguridad y protección personal</v>
          </cell>
          <cell r="C95" t="str">
            <v>S</v>
          </cell>
        </row>
        <row r="96">
          <cell r="A96">
            <v>273000</v>
          </cell>
          <cell r="B96" t="str">
            <v>Artículos deportivos</v>
          </cell>
          <cell r="C96" t="str">
            <v>N</v>
          </cell>
        </row>
        <row r="97">
          <cell r="A97">
            <v>273001</v>
          </cell>
          <cell r="B97" t="str">
            <v>Artículos deportivos</v>
          </cell>
          <cell r="C97" t="str">
            <v>S</v>
          </cell>
        </row>
        <row r="98">
          <cell r="A98">
            <v>274000</v>
          </cell>
          <cell r="B98" t="str">
            <v>Productos textiles</v>
          </cell>
          <cell r="C98" t="str">
            <v>N</v>
          </cell>
        </row>
        <row r="99">
          <cell r="A99">
            <v>274001</v>
          </cell>
          <cell r="B99" t="str">
            <v>Productos textiles</v>
          </cell>
          <cell r="C99" t="str">
            <v>S</v>
          </cell>
        </row>
        <row r="100">
          <cell r="A100">
            <v>275000</v>
          </cell>
          <cell r="B100" t="str">
            <v>Blancos y otros productos textiles, excepto prendas de vestir</v>
          </cell>
          <cell r="C100" t="str">
            <v>N</v>
          </cell>
        </row>
        <row r="101">
          <cell r="A101">
            <v>275001</v>
          </cell>
          <cell r="B101" t="str">
            <v>Blancos y otros productos textiles, excepto prendas de vestir</v>
          </cell>
          <cell r="C101" t="str">
            <v>S</v>
          </cell>
        </row>
        <row r="102">
          <cell r="A102">
            <v>280000</v>
          </cell>
          <cell r="B102" t="str">
            <v>MATERIALES Y SUMINISTROS PARA SEGURIDAD</v>
          </cell>
          <cell r="C102" t="str">
            <v>N</v>
          </cell>
        </row>
        <row r="103">
          <cell r="A103">
            <v>281000</v>
          </cell>
          <cell r="B103" t="str">
            <v>Sustancias y materiales explosivos</v>
          </cell>
          <cell r="C103" t="str">
            <v>N</v>
          </cell>
        </row>
        <row r="104">
          <cell r="A104">
            <v>281001</v>
          </cell>
          <cell r="B104" t="str">
            <v>Sustancias y materiales explosivos</v>
          </cell>
          <cell r="C104" t="str">
            <v>S</v>
          </cell>
        </row>
        <row r="105">
          <cell r="A105">
            <v>282000</v>
          </cell>
          <cell r="B105" t="str">
            <v>Materiales de seguridad pública</v>
          </cell>
          <cell r="C105" t="str">
            <v>N</v>
          </cell>
        </row>
        <row r="106">
          <cell r="A106">
            <v>282001</v>
          </cell>
          <cell r="B106" t="str">
            <v>Materiales de seguridad pública</v>
          </cell>
          <cell r="C106" t="str">
            <v>S</v>
          </cell>
        </row>
        <row r="107">
          <cell r="A107">
            <v>283000</v>
          </cell>
          <cell r="B107" t="str">
            <v>Prendas de protección para seguridad pública y nacional</v>
          </cell>
          <cell r="C107" t="str">
            <v>N</v>
          </cell>
        </row>
        <row r="108">
          <cell r="A108">
            <v>283001</v>
          </cell>
          <cell r="B108" t="str">
            <v>Prendas de protección para seguridad pública</v>
          </cell>
          <cell r="C108" t="str">
            <v>S</v>
          </cell>
        </row>
        <row r="109">
          <cell r="A109">
            <v>290000</v>
          </cell>
          <cell r="B109" t="str">
            <v>HERRAMIENTAS, REFACCIONES Y ACCESORIOS MENORES</v>
          </cell>
          <cell r="C109" t="str">
            <v>N</v>
          </cell>
        </row>
        <row r="110">
          <cell r="A110">
            <v>291000</v>
          </cell>
          <cell r="B110" t="str">
            <v>Herramientas menores</v>
          </cell>
          <cell r="C110" t="str">
            <v>N</v>
          </cell>
        </row>
        <row r="111">
          <cell r="A111">
            <v>291001</v>
          </cell>
          <cell r="B111" t="str">
            <v>Herramientas Auxiliares de Trabajo</v>
          </cell>
          <cell r="C111" t="str">
            <v>S</v>
          </cell>
        </row>
        <row r="112">
          <cell r="A112">
            <v>292000</v>
          </cell>
          <cell r="B112" t="str">
            <v>Refacciones y accesorios menores de edificios</v>
          </cell>
          <cell r="C112" t="str">
            <v>N</v>
          </cell>
        </row>
        <row r="113">
          <cell r="A113">
            <v>292001</v>
          </cell>
          <cell r="B113" t="str">
            <v>Refacciones y accesorios menores de edificios (candados, cerraduras, chapas, llaves)</v>
          </cell>
          <cell r="C113" t="str">
            <v>S</v>
          </cell>
        </row>
        <row r="114">
          <cell r="A114">
            <v>293000</v>
          </cell>
          <cell r="B114" t="str">
            <v>Refacciones y accesorios menores de mobiliario y equipo de administración, educacional y recreativo</v>
          </cell>
          <cell r="C114" t="str">
            <v>N</v>
          </cell>
        </row>
        <row r="115">
          <cell r="A115">
            <v>293001</v>
          </cell>
          <cell r="B115" t="str">
            <v>Refacciones y accesorios menores de mobiliario y equipo de administración, educacional y recreativo</v>
          </cell>
          <cell r="C115" t="str">
            <v>S</v>
          </cell>
        </row>
        <row r="116">
          <cell r="A116">
            <v>294000</v>
          </cell>
          <cell r="B116" t="str">
            <v>Refacciones y accesorios menores de equipo de cómputo y tecnologías de la información</v>
          </cell>
          <cell r="C116" t="str">
            <v>N</v>
          </cell>
        </row>
        <row r="117">
          <cell r="A117">
            <v>294001</v>
          </cell>
          <cell r="B117" t="str">
            <v>Dispositivos Internos y Externos de Equipo de Computo</v>
          </cell>
          <cell r="C117" t="str">
            <v>S</v>
          </cell>
        </row>
        <row r="118">
          <cell r="A118">
            <v>294002</v>
          </cell>
          <cell r="B118" t="str">
            <v>Refacciones y Accesorios Menores de Equipo de Computo</v>
          </cell>
          <cell r="C118" t="str">
            <v>S</v>
          </cell>
        </row>
        <row r="119">
          <cell r="A119">
            <v>295000</v>
          </cell>
          <cell r="B119" t="str">
            <v>Refacciones y accesorios menores de equipo e instrumental médico y de laboratorio</v>
          </cell>
          <cell r="C119" t="str">
            <v>N</v>
          </cell>
        </row>
        <row r="120">
          <cell r="A120">
            <v>295001</v>
          </cell>
          <cell r="B120" t="str">
            <v>Refacciones y accesorios menores de equipo e instrumental médico y de laboratorio</v>
          </cell>
          <cell r="C120" t="str">
            <v>S</v>
          </cell>
        </row>
        <row r="121">
          <cell r="A121">
            <v>296000</v>
          </cell>
          <cell r="B121" t="str">
            <v>Refacciones y accesorios menores de equipo de transporte</v>
          </cell>
          <cell r="C121" t="str">
            <v>N</v>
          </cell>
        </row>
        <row r="122">
          <cell r="A122">
            <v>296001</v>
          </cell>
          <cell r="B122" t="str">
            <v>Herramientas, refacciones y accesorios</v>
          </cell>
          <cell r="C122" t="str">
            <v>S</v>
          </cell>
        </row>
        <row r="123">
          <cell r="A123">
            <v>297000</v>
          </cell>
          <cell r="B123" t="str">
            <v>Refacciones y accesorios menores de equipo de defensa y seguridad</v>
          </cell>
          <cell r="C123" t="str">
            <v>N</v>
          </cell>
        </row>
        <row r="124">
          <cell r="A124">
            <v>297001</v>
          </cell>
          <cell r="B124" t="str">
            <v>Refacciones y accesorios menores de equipo de defensa y seguridad</v>
          </cell>
          <cell r="C124" t="str">
            <v>S</v>
          </cell>
        </row>
        <row r="125">
          <cell r="A125">
            <v>298000</v>
          </cell>
          <cell r="B125" t="str">
            <v>Refacciones y accesorios menores de maquinaria y otros equipos</v>
          </cell>
          <cell r="C125" t="str">
            <v>N</v>
          </cell>
        </row>
        <row r="126">
          <cell r="A126">
            <v>298001</v>
          </cell>
          <cell r="B126" t="str">
            <v>Refacciones y accesorios menores de maquinaria y otros equipos</v>
          </cell>
          <cell r="C126" t="str">
            <v>S</v>
          </cell>
        </row>
        <row r="127">
          <cell r="A127">
            <v>299000</v>
          </cell>
          <cell r="B127" t="str">
            <v>Refacciones y accesorios menores otros bienes muebles</v>
          </cell>
          <cell r="C127" t="str">
            <v>N</v>
          </cell>
        </row>
        <row r="128">
          <cell r="A128">
            <v>299001</v>
          </cell>
          <cell r="B128" t="str">
            <v>Refacciones y accesorios menores otros bienes muebles</v>
          </cell>
          <cell r="C128" t="str">
            <v>S</v>
          </cell>
        </row>
        <row r="129">
          <cell r="A129">
            <v>300000</v>
          </cell>
          <cell r="B129" t="str">
            <v>SERVICIOS GENERALES</v>
          </cell>
          <cell r="C129" t="str">
            <v>N</v>
          </cell>
        </row>
        <row r="130">
          <cell r="A130">
            <v>310000</v>
          </cell>
          <cell r="B130" t="str">
            <v>SERVICIOS BÁSICOS</v>
          </cell>
          <cell r="C130" t="str">
            <v>N</v>
          </cell>
        </row>
        <row r="131">
          <cell r="A131">
            <v>311000</v>
          </cell>
          <cell r="B131" t="str">
            <v>Energía eléctrica</v>
          </cell>
          <cell r="C131" t="str">
            <v>N</v>
          </cell>
        </row>
        <row r="132">
          <cell r="A132">
            <v>311001</v>
          </cell>
          <cell r="B132" t="str">
            <v>Servicio de energía eléctrica</v>
          </cell>
          <cell r="C132" t="str">
            <v>S</v>
          </cell>
        </row>
        <row r="133">
          <cell r="A133">
            <v>311002</v>
          </cell>
          <cell r="B133" t="str">
            <v>Contratación del servicio de energía eléctrica</v>
          </cell>
          <cell r="C133" t="str">
            <v>S</v>
          </cell>
        </row>
        <row r="134">
          <cell r="A134">
            <v>312000</v>
          </cell>
          <cell r="B134" t="str">
            <v>Gas</v>
          </cell>
          <cell r="C134" t="str">
            <v>N</v>
          </cell>
        </row>
        <row r="135">
          <cell r="A135">
            <v>312001</v>
          </cell>
          <cell r="B135" t="str">
            <v>Servicio de Gas L.P.</v>
          </cell>
          <cell r="C135" t="str">
            <v>S</v>
          </cell>
        </row>
        <row r="136">
          <cell r="A136">
            <v>313000</v>
          </cell>
          <cell r="B136" t="str">
            <v>Agua</v>
          </cell>
          <cell r="C136" t="str">
            <v>N</v>
          </cell>
        </row>
        <row r="137">
          <cell r="A137">
            <v>313001</v>
          </cell>
          <cell r="B137" t="str">
            <v>Servicio de agua potable</v>
          </cell>
          <cell r="C137" t="str">
            <v>S</v>
          </cell>
        </row>
        <row r="138">
          <cell r="A138">
            <v>313002</v>
          </cell>
          <cell r="B138" t="str">
            <v>Contratación del servicio de agua potable</v>
          </cell>
          <cell r="C138" t="str">
            <v>S</v>
          </cell>
        </row>
        <row r="139">
          <cell r="A139">
            <v>314000</v>
          </cell>
          <cell r="B139" t="str">
            <v>Telefonía tradicional</v>
          </cell>
          <cell r="C139" t="str">
            <v>N</v>
          </cell>
        </row>
        <row r="140">
          <cell r="A140">
            <v>314001</v>
          </cell>
          <cell r="B140" t="str">
            <v>Servicio telefónico</v>
          </cell>
          <cell r="C140" t="str">
            <v>S</v>
          </cell>
        </row>
        <row r="141">
          <cell r="A141">
            <v>315000</v>
          </cell>
          <cell r="B141" t="str">
            <v>Telefonía celular</v>
          </cell>
          <cell r="C141" t="str">
            <v>N</v>
          </cell>
        </row>
        <row r="142">
          <cell r="A142">
            <v>315001</v>
          </cell>
          <cell r="B142" t="str">
            <v>Telefonía celular</v>
          </cell>
          <cell r="C142" t="str">
            <v>S</v>
          </cell>
        </row>
        <row r="143">
          <cell r="A143">
            <v>316000</v>
          </cell>
          <cell r="B143" t="str">
            <v>Servicios de telecomunicaciones y satélites</v>
          </cell>
          <cell r="C143" t="str">
            <v>N</v>
          </cell>
        </row>
        <row r="144">
          <cell r="A144">
            <v>316001</v>
          </cell>
          <cell r="B144" t="str">
            <v>Servicios de telecomunicaciones y satélites</v>
          </cell>
          <cell r="C144" t="str">
            <v>S</v>
          </cell>
        </row>
        <row r="145">
          <cell r="A145">
            <v>317000</v>
          </cell>
          <cell r="B145" t="str">
            <v>Servicios de acceso de Internet, redes y procesamiento de información</v>
          </cell>
          <cell r="C145" t="str">
            <v>N</v>
          </cell>
        </row>
        <row r="146">
          <cell r="A146">
            <v>317001</v>
          </cell>
          <cell r="B146" t="str">
            <v>Servicios de acceso de Internet, redes y procesamiento de información</v>
          </cell>
          <cell r="C146" t="str">
            <v>S</v>
          </cell>
        </row>
        <row r="147">
          <cell r="A147">
            <v>318000</v>
          </cell>
          <cell r="B147" t="str">
            <v>Servicios postales y telegráficos</v>
          </cell>
          <cell r="C147" t="str">
            <v>N</v>
          </cell>
        </row>
        <row r="148">
          <cell r="A148">
            <v>318001</v>
          </cell>
          <cell r="B148" t="str">
            <v>Servicio postal y telegráfico</v>
          </cell>
          <cell r="C148" t="str">
            <v>S</v>
          </cell>
        </row>
        <row r="149">
          <cell r="A149">
            <v>319000</v>
          </cell>
          <cell r="B149" t="str">
            <v>Servicios integrales y otros servicios</v>
          </cell>
          <cell r="C149" t="str">
            <v>N</v>
          </cell>
        </row>
        <row r="150">
          <cell r="A150">
            <v>319001</v>
          </cell>
          <cell r="B150" t="str">
            <v>Servicios Integrales</v>
          </cell>
          <cell r="C150" t="str">
            <v>S</v>
          </cell>
        </row>
        <row r="151">
          <cell r="A151">
            <v>320000</v>
          </cell>
          <cell r="B151" t="str">
            <v>SERVICIOS DE ARRENDAMIENTO</v>
          </cell>
          <cell r="C151" t="str">
            <v>N</v>
          </cell>
        </row>
        <row r="152">
          <cell r="A152">
            <v>321000</v>
          </cell>
          <cell r="B152" t="str">
            <v>Arrendamiento de terrenos</v>
          </cell>
          <cell r="C152" t="str">
            <v>N</v>
          </cell>
        </row>
        <row r="153">
          <cell r="A153">
            <v>321001</v>
          </cell>
          <cell r="B153" t="str">
            <v>Arrendamiento de terrenos</v>
          </cell>
          <cell r="C153" t="str">
            <v>S</v>
          </cell>
        </row>
        <row r="154">
          <cell r="A154">
            <v>322000</v>
          </cell>
          <cell r="B154" t="str">
            <v>Arrendamiento de edificios</v>
          </cell>
          <cell r="C154" t="str">
            <v>N</v>
          </cell>
        </row>
        <row r="155">
          <cell r="A155">
            <v>322001</v>
          </cell>
          <cell r="B155" t="str">
            <v>Arrendamiento de edificios</v>
          </cell>
          <cell r="C155" t="str">
            <v>S</v>
          </cell>
        </row>
        <row r="156">
          <cell r="A156">
            <v>323000</v>
          </cell>
          <cell r="B156" t="str">
            <v>Arrendamiento de mobiliario y equipo de administración, educacional y recreativo</v>
          </cell>
          <cell r="C156" t="str">
            <v>N</v>
          </cell>
        </row>
        <row r="157">
          <cell r="A157">
            <v>323001</v>
          </cell>
          <cell r="B157" t="str">
            <v>Arrendamiento de maquinaria y equipo</v>
          </cell>
          <cell r="C157" t="str">
            <v>S</v>
          </cell>
        </row>
        <row r="158">
          <cell r="A158">
            <v>323002</v>
          </cell>
          <cell r="B158" t="str">
            <v>Arrendamiento de maquinaria y equipo de Administración</v>
          </cell>
          <cell r="C158" t="str">
            <v>S</v>
          </cell>
        </row>
        <row r="159">
          <cell r="A159">
            <v>323003</v>
          </cell>
          <cell r="B159" t="str">
            <v>Arrendamiento de Equipo Educacional y Recreativo</v>
          </cell>
          <cell r="C159" t="str">
            <v>S</v>
          </cell>
        </row>
        <row r="160">
          <cell r="A160">
            <v>323004</v>
          </cell>
          <cell r="B160" t="str">
            <v>Arrendamiento de Mobiliario y Equipo</v>
          </cell>
          <cell r="C160" t="str">
            <v>S</v>
          </cell>
        </row>
        <row r="161">
          <cell r="A161">
            <v>324000</v>
          </cell>
          <cell r="B161" t="str">
            <v>Arrendamiento de equipo e instrumental médico y de laboratorio</v>
          </cell>
          <cell r="C161" t="str">
            <v>N</v>
          </cell>
        </row>
        <row r="162">
          <cell r="A162">
            <v>324001</v>
          </cell>
          <cell r="B162" t="str">
            <v>Arrendamiento de equipo e instrumental médico y de laboratorio</v>
          </cell>
          <cell r="C162" t="str">
            <v>S</v>
          </cell>
        </row>
        <row r="163">
          <cell r="A163">
            <v>325000</v>
          </cell>
          <cell r="B163" t="str">
            <v>Arrendamiento de equipo de transporte</v>
          </cell>
          <cell r="C163" t="str">
            <v>N</v>
          </cell>
        </row>
        <row r="164">
          <cell r="A164">
            <v>325001</v>
          </cell>
          <cell r="B164" t="str">
            <v>Arrendamiento de equipo de transporte</v>
          </cell>
          <cell r="C164" t="str">
            <v>S</v>
          </cell>
        </row>
        <row r="165">
          <cell r="A165">
            <v>326000</v>
          </cell>
          <cell r="B165" t="str">
            <v>Arrendamiento de maquinaria, otros equipos y herramientas</v>
          </cell>
          <cell r="C165" t="str">
            <v>N</v>
          </cell>
        </row>
        <row r="166">
          <cell r="A166">
            <v>326001</v>
          </cell>
          <cell r="B166" t="str">
            <v>Arrendamiento de maquinaria, otros equipos y herramientas</v>
          </cell>
          <cell r="C166" t="str">
            <v>S</v>
          </cell>
        </row>
        <row r="167">
          <cell r="A167">
            <v>327000</v>
          </cell>
          <cell r="B167" t="str">
            <v>Arrendamiento de activos intangibles</v>
          </cell>
          <cell r="C167" t="str">
            <v>N</v>
          </cell>
        </row>
        <row r="168">
          <cell r="A168">
            <v>327001</v>
          </cell>
          <cell r="B168" t="str">
            <v>Arrendamiento de activos intangibles</v>
          </cell>
          <cell r="C168" t="str">
            <v>S</v>
          </cell>
        </row>
        <row r="169">
          <cell r="A169">
            <v>328000</v>
          </cell>
          <cell r="B169" t="str">
            <v>Arrendamiento financiero</v>
          </cell>
          <cell r="C169" t="str">
            <v>N</v>
          </cell>
        </row>
        <row r="170">
          <cell r="A170">
            <v>328001</v>
          </cell>
          <cell r="B170" t="str">
            <v>Arrendamiento financiero</v>
          </cell>
          <cell r="C170" t="str">
            <v>S</v>
          </cell>
        </row>
        <row r="171">
          <cell r="A171">
            <v>328002</v>
          </cell>
          <cell r="B171" t="str">
            <v>Programa Estatal de Arrendamiento Vehicular</v>
          </cell>
          <cell r="C171" t="str">
            <v>S</v>
          </cell>
        </row>
        <row r="172">
          <cell r="A172">
            <v>329000</v>
          </cell>
          <cell r="B172" t="str">
            <v>Otros arrendamientos</v>
          </cell>
          <cell r="C172" t="str">
            <v>N</v>
          </cell>
        </row>
        <row r="173">
          <cell r="A173">
            <v>329001</v>
          </cell>
          <cell r="B173" t="str">
            <v>Arrendamientos especiales</v>
          </cell>
          <cell r="C173" t="str">
            <v>S</v>
          </cell>
        </row>
        <row r="174">
          <cell r="A174">
            <v>330000</v>
          </cell>
          <cell r="B174" t="str">
            <v>SERVICIOS PROFESIONALES, CIENTÍFICOS, TÉCNICOS Y OTROS SERVICIOS</v>
          </cell>
          <cell r="C174" t="str">
            <v>N</v>
          </cell>
        </row>
        <row r="175">
          <cell r="A175">
            <v>331000</v>
          </cell>
          <cell r="B175" t="str">
            <v>Servicios legales, de contabilidad, auditoría y relacionados</v>
          </cell>
          <cell r="C175" t="str">
            <v>N</v>
          </cell>
        </row>
        <row r="176">
          <cell r="A176">
            <v>331001</v>
          </cell>
          <cell r="B176" t="str">
            <v>Asesorías</v>
          </cell>
          <cell r="C176" t="str">
            <v>S</v>
          </cell>
        </row>
        <row r="177">
          <cell r="A177">
            <v>331002</v>
          </cell>
          <cell r="B177" t="str">
            <v>Servicios Notariales</v>
          </cell>
          <cell r="C177" t="str">
            <v>S</v>
          </cell>
        </row>
        <row r="178">
          <cell r="A178">
            <v>331003</v>
          </cell>
          <cell r="B178" t="str">
            <v>Consultoría y Gestión</v>
          </cell>
          <cell r="C178" t="str">
            <v>S</v>
          </cell>
        </row>
        <row r="179">
          <cell r="A179">
            <v>332000</v>
          </cell>
          <cell r="B179" t="str">
            <v>Servicios de diseño, arquitectura, ingeniería y actividades relacionadas</v>
          </cell>
          <cell r="C179" t="str">
            <v>N</v>
          </cell>
        </row>
        <row r="180">
          <cell r="A180">
            <v>332001</v>
          </cell>
          <cell r="B180" t="str">
            <v>Servicios de diseño, arquitectura, ingeniería y actividades relacionadas</v>
          </cell>
          <cell r="C180" t="str">
            <v>S</v>
          </cell>
        </row>
        <row r="181">
          <cell r="A181">
            <v>333000</v>
          </cell>
          <cell r="B181" t="str">
            <v>Servicios de consultoría administrativa, procesos, técnica y en tecnologías de la información</v>
          </cell>
          <cell r="C181" t="str">
            <v>N</v>
          </cell>
        </row>
        <row r="182">
          <cell r="A182">
            <v>333001</v>
          </cell>
          <cell r="B182" t="str">
            <v>Estudios e investigaciones</v>
          </cell>
          <cell r="C182" t="str">
            <v>S</v>
          </cell>
        </row>
        <row r="183">
          <cell r="A183">
            <v>333002</v>
          </cell>
          <cell r="B183" t="str">
            <v>Sistematización de la Armonización Contable y Presupuestal</v>
          </cell>
          <cell r="C183" t="str">
            <v>S</v>
          </cell>
        </row>
        <row r="184">
          <cell r="A184">
            <v>333003</v>
          </cell>
          <cell r="B184" t="str">
            <v>Servicios de consultoría administrativa, procesos, técnica y en tecnologías de la información</v>
          </cell>
          <cell r="C184" t="str">
            <v>S</v>
          </cell>
        </row>
        <row r="185">
          <cell r="A185">
            <v>334000</v>
          </cell>
          <cell r="B185" t="str">
            <v>Servicios de capacitación</v>
          </cell>
          <cell r="C185" t="str">
            <v>N</v>
          </cell>
        </row>
        <row r="186">
          <cell r="A186">
            <v>334001</v>
          </cell>
          <cell r="B186" t="str">
            <v>Cuotas e inscripciones</v>
          </cell>
          <cell r="C186" t="str">
            <v>S</v>
          </cell>
        </row>
        <row r="187">
          <cell r="A187">
            <v>334002</v>
          </cell>
          <cell r="B187" t="str">
            <v>Servicios de Capacitación</v>
          </cell>
          <cell r="C187" t="str">
            <v>S</v>
          </cell>
        </row>
        <row r="188">
          <cell r="A188">
            <v>335000</v>
          </cell>
          <cell r="B188" t="str">
            <v>Servicios de investigación científica y desarrollo</v>
          </cell>
          <cell r="C188" t="str">
            <v>N</v>
          </cell>
        </row>
        <row r="189">
          <cell r="A189">
            <v>335001</v>
          </cell>
          <cell r="B189" t="str">
            <v>Servicios de investigación científica y desarrollo</v>
          </cell>
          <cell r="C189" t="str">
            <v>S</v>
          </cell>
        </row>
        <row r="190">
          <cell r="A190">
            <v>336000</v>
          </cell>
          <cell r="B190" t="str">
            <v>Servicios de apoyo administrativo, traducción, fotocopiado e impresión</v>
          </cell>
          <cell r="C190" t="str">
            <v>N</v>
          </cell>
        </row>
        <row r="191">
          <cell r="A191">
            <v>336001</v>
          </cell>
          <cell r="B191" t="str">
            <v>Servicio de Fotocopiado, Enmicado y Encuadernación de Documentos.</v>
          </cell>
          <cell r="C191" t="str">
            <v>S</v>
          </cell>
        </row>
        <row r="192">
          <cell r="A192">
            <v>336002</v>
          </cell>
          <cell r="B192" t="str">
            <v>Servicio de Impresión y Elaboración de Material Informativo</v>
          </cell>
          <cell r="C192" t="str">
            <v>S</v>
          </cell>
        </row>
        <row r="193">
          <cell r="A193">
            <v>337000</v>
          </cell>
          <cell r="B193" t="str">
            <v>Servicios de protección y seguridad</v>
          </cell>
          <cell r="C193" t="str">
            <v>N</v>
          </cell>
        </row>
        <row r="194">
          <cell r="A194">
            <v>337001</v>
          </cell>
          <cell r="B194" t="str">
            <v>Dispositivo de seguridad pública</v>
          </cell>
          <cell r="C194" t="str">
            <v>S</v>
          </cell>
        </row>
        <row r="195">
          <cell r="A195">
            <v>338000</v>
          </cell>
          <cell r="B195" t="str">
            <v>Servicios de vigilancia</v>
          </cell>
          <cell r="C195" t="str">
            <v>N</v>
          </cell>
        </row>
        <row r="196">
          <cell r="A196">
            <v>338001</v>
          </cell>
          <cell r="B196" t="str">
            <v>Servicio de seguridad privada</v>
          </cell>
          <cell r="C196" t="str">
            <v>S</v>
          </cell>
        </row>
        <row r="197">
          <cell r="A197">
            <v>339000</v>
          </cell>
          <cell r="B197" t="str">
            <v>Servicios profesionales, científicos y técnicos integrales</v>
          </cell>
          <cell r="C197" t="str">
            <v>N</v>
          </cell>
        </row>
        <row r="198">
          <cell r="A198">
            <v>339001</v>
          </cell>
          <cell r="B198" t="str">
            <v>Servicios profesionales, científicos y técnicos integrales</v>
          </cell>
          <cell r="C198" t="str">
            <v>S</v>
          </cell>
        </row>
        <row r="199">
          <cell r="A199">
            <v>340000</v>
          </cell>
          <cell r="B199" t="str">
            <v>SERVICIOS FINANCIEROS, BANCARIOS Y COMERCIALES</v>
          </cell>
          <cell r="C199" t="str">
            <v>N</v>
          </cell>
        </row>
        <row r="200">
          <cell r="A200">
            <v>341000</v>
          </cell>
          <cell r="B200" t="str">
            <v>Servicios financieros y bancarios</v>
          </cell>
          <cell r="C200" t="str">
            <v>N</v>
          </cell>
        </row>
        <row r="201">
          <cell r="A201">
            <v>341001</v>
          </cell>
          <cell r="B201" t="str">
            <v>Comisiones, descuentos y otros servicios bancarios</v>
          </cell>
          <cell r="C201" t="str">
            <v>S</v>
          </cell>
        </row>
        <row r="202">
          <cell r="A202">
            <v>342000</v>
          </cell>
          <cell r="B202" t="str">
            <v>Servicios de cobranza, investigación crediticia y similar</v>
          </cell>
          <cell r="C202" t="str">
            <v>N</v>
          </cell>
        </row>
        <row r="203">
          <cell r="A203">
            <v>342001</v>
          </cell>
          <cell r="B203" t="str">
            <v>Servicios de cobranza, investigación crediticia y similar</v>
          </cell>
          <cell r="C203" t="str">
            <v>S</v>
          </cell>
        </row>
        <row r="204">
          <cell r="A204">
            <v>343000</v>
          </cell>
          <cell r="B204" t="str">
            <v>Servicios de recaudación, traslado y custodia de valores</v>
          </cell>
          <cell r="C204" t="str">
            <v>N</v>
          </cell>
        </row>
        <row r="205">
          <cell r="A205">
            <v>343001</v>
          </cell>
          <cell r="B205" t="str">
            <v>Servicios de recaudación, traslado y custodia de valores</v>
          </cell>
          <cell r="C205" t="str">
            <v>S</v>
          </cell>
        </row>
        <row r="206">
          <cell r="A206">
            <v>344000</v>
          </cell>
          <cell r="B206" t="str">
            <v>Seguros de responsabilidad patrimonial y fianzas</v>
          </cell>
          <cell r="C206" t="str">
            <v>N</v>
          </cell>
        </row>
        <row r="207">
          <cell r="A207">
            <v>344001</v>
          </cell>
          <cell r="B207" t="str">
            <v>Seguros de responsabilidad patrimonial y fianzas</v>
          </cell>
          <cell r="C207" t="str">
            <v>S</v>
          </cell>
        </row>
        <row r="208">
          <cell r="A208">
            <v>345000</v>
          </cell>
          <cell r="B208" t="str">
            <v>Seguro de bienes patrimoniales</v>
          </cell>
          <cell r="C208" t="str">
            <v>N</v>
          </cell>
        </row>
        <row r="209">
          <cell r="A209">
            <v>345001</v>
          </cell>
          <cell r="B209" t="str">
            <v>Seguros</v>
          </cell>
          <cell r="C209" t="str">
            <v>S</v>
          </cell>
        </row>
        <row r="210">
          <cell r="A210">
            <v>346000</v>
          </cell>
          <cell r="B210" t="str">
            <v>Almacenaje, envase y embalaje</v>
          </cell>
          <cell r="C210" t="str">
            <v>N</v>
          </cell>
        </row>
        <row r="211">
          <cell r="A211">
            <v>346001</v>
          </cell>
          <cell r="B211" t="str">
            <v>Almacenaje, envase y embalaje</v>
          </cell>
          <cell r="C211" t="str">
            <v>S</v>
          </cell>
        </row>
        <row r="212">
          <cell r="A212">
            <v>347000</v>
          </cell>
          <cell r="B212" t="str">
            <v>Fletes y maniobras</v>
          </cell>
          <cell r="C212" t="str">
            <v>N</v>
          </cell>
        </row>
        <row r="213">
          <cell r="A213">
            <v>347001</v>
          </cell>
          <cell r="B213" t="str">
            <v>Fletes, maniobras y almacenaje</v>
          </cell>
          <cell r="C213" t="str">
            <v>S</v>
          </cell>
        </row>
        <row r="214">
          <cell r="A214">
            <v>348000</v>
          </cell>
          <cell r="B214" t="str">
            <v>Comisiones por ventas</v>
          </cell>
          <cell r="C214" t="str">
            <v>N</v>
          </cell>
        </row>
        <row r="215">
          <cell r="A215">
            <v>348001</v>
          </cell>
          <cell r="B215" t="str">
            <v>Comisiones por ventas</v>
          </cell>
          <cell r="C215" t="str">
            <v>S</v>
          </cell>
        </row>
        <row r="216">
          <cell r="A216">
            <v>349000</v>
          </cell>
          <cell r="B216" t="str">
            <v>Servicios financieros, bancarios y comerciales integrales</v>
          </cell>
          <cell r="C216" t="str">
            <v>N</v>
          </cell>
        </row>
        <row r="217">
          <cell r="A217">
            <v>349001</v>
          </cell>
          <cell r="B217" t="str">
            <v>Servicios financieros, bancarios y comerciales integrales</v>
          </cell>
          <cell r="C217" t="str">
            <v>S</v>
          </cell>
        </row>
        <row r="218">
          <cell r="A218">
            <v>350000</v>
          </cell>
          <cell r="B218" t="str">
            <v>SERVICIOS DE INSTALACIÓN, REPARACIÓN, MANTENIMIENTO Y CONSERVACIÓN</v>
          </cell>
          <cell r="C218" t="str">
            <v>N</v>
          </cell>
        </row>
        <row r="219">
          <cell r="A219">
            <v>351000</v>
          </cell>
          <cell r="B219" t="str">
            <v>Conservación y mantenimiento menor de inmuebles</v>
          </cell>
          <cell r="C219" t="str">
            <v>N</v>
          </cell>
        </row>
        <row r="220">
          <cell r="A220">
            <v>351001</v>
          </cell>
          <cell r="B220" t="str">
            <v>Mantenimiento de inmuebles</v>
          </cell>
          <cell r="C220" t="str">
            <v>S</v>
          </cell>
        </row>
        <row r="221">
          <cell r="A221">
            <v>351002</v>
          </cell>
          <cell r="B221" t="str">
            <v>Fumigación de Inmuebles</v>
          </cell>
          <cell r="C221" t="str">
            <v>S</v>
          </cell>
        </row>
        <row r="222">
          <cell r="A222">
            <v>351003</v>
          </cell>
          <cell r="B222" t="str">
            <v>Mantto. y Conserv. de Inmuebles Sub Proc. Zona Norte</v>
          </cell>
          <cell r="C222" t="str">
            <v>S</v>
          </cell>
        </row>
        <row r="223">
          <cell r="A223">
            <v>352000</v>
          </cell>
          <cell r="B223" t="str">
            <v>Instalación, reparación y mantenimiento de mobiliario y equipo de administración, educacional y recreativo</v>
          </cell>
          <cell r="C223" t="str">
            <v>N</v>
          </cell>
        </row>
        <row r="224">
          <cell r="A224">
            <v>352001</v>
          </cell>
          <cell r="B224" t="str">
            <v>Mantenimiento de mobiliario y equipo</v>
          </cell>
          <cell r="C224" t="str">
            <v>S</v>
          </cell>
        </row>
        <row r="225">
          <cell r="A225">
            <v>352002</v>
          </cell>
          <cell r="B225" t="str">
            <v>Gastos de instalación</v>
          </cell>
          <cell r="C225" t="str">
            <v>S</v>
          </cell>
        </row>
        <row r="226">
          <cell r="A226">
            <v>352003</v>
          </cell>
          <cell r="B226" t="str">
            <v>Mantto. y Conservación Archivo General de Notarias del Gob. del Edo.</v>
          </cell>
          <cell r="C226" t="str">
            <v>S</v>
          </cell>
        </row>
        <row r="227">
          <cell r="A227">
            <v>353000</v>
          </cell>
          <cell r="B227" t="str">
            <v>Instalación, reparación y mantenimiento de equipo de cómputo y tecnología de la información</v>
          </cell>
          <cell r="C227" t="str">
            <v>N</v>
          </cell>
        </row>
        <row r="228">
          <cell r="A228">
            <v>353001</v>
          </cell>
          <cell r="B228" t="str">
            <v>Instalación, reparación y mantenimiento de equipo de cómputo y tecnología  de la información</v>
          </cell>
          <cell r="C228" t="str">
            <v>S</v>
          </cell>
        </row>
        <row r="229">
          <cell r="A229">
            <v>354000</v>
          </cell>
          <cell r="B229" t="str">
            <v>Instalación, reparación y mantenimiento de equipo e instrumental médico y de laboratorio</v>
          </cell>
          <cell r="C229" t="str">
            <v>N</v>
          </cell>
        </row>
        <row r="230">
          <cell r="A230">
            <v>354001</v>
          </cell>
          <cell r="B230" t="str">
            <v>Instalación, reparación y mantenimiento de equipo e instrumental médico y de laboratorio</v>
          </cell>
          <cell r="C230" t="str">
            <v>S</v>
          </cell>
        </row>
        <row r="231">
          <cell r="A231">
            <v>355000</v>
          </cell>
          <cell r="B231" t="str">
            <v>Reparación y mantenimiento de equipo de transporte</v>
          </cell>
          <cell r="C231" t="str">
            <v>N</v>
          </cell>
        </row>
        <row r="232">
          <cell r="A232">
            <v>355001</v>
          </cell>
          <cell r="B232" t="str">
            <v>Mantto. y conservación de vehículos terrestres, aéreos, marítimos, lacustres y fluviales</v>
          </cell>
          <cell r="C232" t="str">
            <v>S</v>
          </cell>
        </row>
        <row r="233">
          <cell r="A233">
            <v>356000</v>
          </cell>
          <cell r="B233" t="str">
            <v>Reparación y mantenimiento de equipo de defensa y seguridad</v>
          </cell>
          <cell r="C233" t="str">
            <v>N</v>
          </cell>
        </row>
        <row r="234">
          <cell r="A234">
            <v>356001</v>
          </cell>
          <cell r="B234" t="str">
            <v>Reparación y mantenimiento de equipo de defensa y seguridad</v>
          </cell>
          <cell r="C234" t="str">
            <v>S</v>
          </cell>
        </row>
        <row r="235">
          <cell r="A235">
            <v>357000</v>
          </cell>
          <cell r="B235" t="str">
            <v>Instalación, reparación y mantenimiento de maquinaria, otros equipos y herramienta</v>
          </cell>
          <cell r="C235" t="str">
            <v>N</v>
          </cell>
        </row>
        <row r="236">
          <cell r="A236">
            <v>357001</v>
          </cell>
          <cell r="B236" t="str">
            <v>Instalación, reparación y mantenimiento de Equipo de Telecomunicaciones</v>
          </cell>
          <cell r="C236" t="str">
            <v>S</v>
          </cell>
        </row>
        <row r="237">
          <cell r="A237">
            <v>357002</v>
          </cell>
          <cell r="B237" t="str">
            <v>Instalación, reparación y mantenimiento de maquinaria, otros equipos y herramienta</v>
          </cell>
          <cell r="C237" t="str">
            <v>S</v>
          </cell>
        </row>
        <row r="238">
          <cell r="A238">
            <v>358000</v>
          </cell>
          <cell r="B238" t="str">
            <v>Servicios de limpieza y manejo de desechos</v>
          </cell>
          <cell r="C238" t="str">
            <v>N</v>
          </cell>
        </row>
        <row r="239">
          <cell r="A239">
            <v>358001</v>
          </cell>
          <cell r="B239" t="str">
            <v>Servicios de higiene y limpieza</v>
          </cell>
          <cell r="C239" t="str">
            <v>S</v>
          </cell>
        </row>
        <row r="240">
          <cell r="A240">
            <v>358002</v>
          </cell>
          <cell r="B240" t="str">
            <v>Servicios de Limpieza y Lavado de Vehículos</v>
          </cell>
          <cell r="C240" t="str">
            <v>S</v>
          </cell>
        </row>
        <row r="241">
          <cell r="A241">
            <v>358003</v>
          </cell>
          <cell r="B241" t="str">
            <v>Servicios de Lavandería</v>
          </cell>
          <cell r="C241" t="str">
            <v>S</v>
          </cell>
        </row>
        <row r="242">
          <cell r="A242">
            <v>359000</v>
          </cell>
          <cell r="B242" t="str">
            <v>Servicios de jardinería y fumigación</v>
          </cell>
          <cell r="C242" t="str">
            <v>N</v>
          </cell>
        </row>
        <row r="243">
          <cell r="A243">
            <v>359001</v>
          </cell>
          <cell r="B243" t="str">
            <v>Árboles, plantas, semillas y abonos</v>
          </cell>
          <cell r="C243" t="str">
            <v>S</v>
          </cell>
        </row>
        <row r="244">
          <cell r="A244">
            <v>359002</v>
          </cell>
          <cell r="B244" t="str">
            <v>Fumigación de áreas verdes</v>
          </cell>
          <cell r="C244" t="str">
            <v>S</v>
          </cell>
        </row>
        <row r="245">
          <cell r="A245">
            <v>360000</v>
          </cell>
          <cell r="B245" t="str">
            <v>SERVICIOS DE COMUNICACIÓN SOCIAL Y PUBLICIDAD</v>
          </cell>
          <cell r="C245" t="str">
            <v>N</v>
          </cell>
        </row>
        <row r="246">
          <cell r="A246">
            <v>361000</v>
          </cell>
          <cell r="B246" t="str">
            <v>Difusión por radio, televisión y otros medios de mensajes sobre programas y actividades gubernamentales</v>
          </cell>
          <cell r="C246" t="str">
            <v>N</v>
          </cell>
        </row>
        <row r="247">
          <cell r="A247">
            <v>361001</v>
          </cell>
          <cell r="B247" t="str">
            <v>Gastos de difusión</v>
          </cell>
          <cell r="C247" t="str">
            <v>S</v>
          </cell>
        </row>
        <row r="248">
          <cell r="A248">
            <v>361002</v>
          </cell>
          <cell r="B248" t="str">
            <v>Impresiones y publicaciones oficiales</v>
          </cell>
          <cell r="C248" t="str">
            <v>S</v>
          </cell>
        </row>
        <row r="249">
          <cell r="A249">
            <v>361003</v>
          </cell>
          <cell r="B249" t="str">
            <v>Rotulaciones oficiales</v>
          </cell>
          <cell r="C249" t="str">
            <v>S</v>
          </cell>
        </row>
        <row r="250">
          <cell r="A250">
            <v>361004</v>
          </cell>
          <cell r="B250" t="str">
            <v>Publicación de convocatorias</v>
          </cell>
          <cell r="C250" t="str">
            <v>S</v>
          </cell>
        </row>
        <row r="251">
          <cell r="A251">
            <v>362000</v>
          </cell>
          <cell r="B251" t="str">
            <v>Difusión por radio, televisión y otros medios de mensajes comerciales para promover la venta de bienes o servicios</v>
          </cell>
          <cell r="C251" t="str">
            <v>N</v>
          </cell>
        </row>
        <row r="252">
          <cell r="A252">
            <v>362001</v>
          </cell>
          <cell r="B252" t="str">
            <v>Difusión por radio, televisión y otros medios de mensajes comerciales para promover la venta de bienes o servicios</v>
          </cell>
          <cell r="C252" t="str">
            <v>S</v>
          </cell>
        </row>
        <row r="253">
          <cell r="A253">
            <v>362002</v>
          </cell>
          <cell r="B253" t="str">
            <v>Difusión por radio, televisión y otros medios de mensajes comerciales para promover la venta de bienes o servicios, fuera del país</v>
          </cell>
          <cell r="C253" t="str">
            <v>S</v>
          </cell>
        </row>
        <row r="254">
          <cell r="A254">
            <v>363000</v>
          </cell>
          <cell r="B254" t="str">
            <v>Servicios de creatividad, preproducción y producción de publicidad, excepto Internet</v>
          </cell>
          <cell r="C254" t="str">
            <v>N</v>
          </cell>
        </row>
        <row r="255">
          <cell r="A255">
            <v>363001</v>
          </cell>
          <cell r="B255" t="str">
            <v>Servicios de Producción y Diseño Publicitario</v>
          </cell>
          <cell r="C255" t="str">
            <v>S</v>
          </cell>
        </row>
        <row r="256">
          <cell r="A256">
            <v>364000</v>
          </cell>
          <cell r="B256" t="str">
            <v>Servicios de revelado de fotografías</v>
          </cell>
          <cell r="C256" t="str">
            <v>N</v>
          </cell>
        </row>
        <row r="257">
          <cell r="A257">
            <v>364001</v>
          </cell>
          <cell r="B257" t="str">
            <v>Revelado de Fotografías</v>
          </cell>
          <cell r="C257" t="str">
            <v>S</v>
          </cell>
        </row>
        <row r="258">
          <cell r="A258">
            <v>365000</v>
          </cell>
          <cell r="B258" t="str">
            <v>Servicios de la industria fílmica, del sonido y del video</v>
          </cell>
          <cell r="C258" t="str">
            <v>N</v>
          </cell>
        </row>
        <row r="259">
          <cell r="A259">
            <v>365001</v>
          </cell>
          <cell r="B259" t="str">
            <v>Servicios de la industria fílmica, del sonido y del video</v>
          </cell>
          <cell r="C259" t="str">
            <v>S</v>
          </cell>
        </row>
        <row r="260">
          <cell r="A260">
            <v>366000</v>
          </cell>
          <cell r="B260" t="str">
            <v>Servicio de creación y difusión de contenido exclusivamente a través de Internet</v>
          </cell>
          <cell r="C260" t="str">
            <v>N</v>
          </cell>
        </row>
        <row r="261">
          <cell r="A261">
            <v>366001</v>
          </cell>
          <cell r="B261" t="str">
            <v>Gastos de difusión a través de internet</v>
          </cell>
          <cell r="C261" t="str">
            <v>S</v>
          </cell>
        </row>
        <row r="262">
          <cell r="A262">
            <v>369000</v>
          </cell>
          <cell r="B262" t="str">
            <v>Otros servicios de información</v>
          </cell>
          <cell r="C262" t="str">
            <v>N</v>
          </cell>
        </row>
        <row r="263">
          <cell r="A263">
            <v>369001</v>
          </cell>
          <cell r="B263" t="str">
            <v>Monitoreo de Información y Encuestas</v>
          </cell>
          <cell r="C263" t="str">
            <v>S</v>
          </cell>
        </row>
        <row r="264">
          <cell r="A264">
            <v>370000</v>
          </cell>
          <cell r="B264" t="str">
            <v>SERVICIOS DE TRASLADO Y VIÁTICOS</v>
          </cell>
          <cell r="C264" t="str">
            <v>N</v>
          </cell>
        </row>
        <row r="265">
          <cell r="A265">
            <v>371000</v>
          </cell>
          <cell r="B265" t="str">
            <v>Pasajes aéreos</v>
          </cell>
          <cell r="C265" t="str">
            <v>N</v>
          </cell>
        </row>
        <row r="266">
          <cell r="A266">
            <v>371001</v>
          </cell>
          <cell r="B266" t="str">
            <v>Pasajes aéreos</v>
          </cell>
          <cell r="C266" t="str">
            <v>S</v>
          </cell>
        </row>
        <row r="267">
          <cell r="A267">
            <v>372000</v>
          </cell>
          <cell r="B267" t="str">
            <v>Pasajes terrestres</v>
          </cell>
          <cell r="C267" t="str">
            <v>N</v>
          </cell>
        </row>
        <row r="268">
          <cell r="A268">
            <v>372001</v>
          </cell>
          <cell r="B268" t="str">
            <v>Pasajes terrestres</v>
          </cell>
          <cell r="C268" t="str">
            <v>S</v>
          </cell>
        </row>
        <row r="269">
          <cell r="A269">
            <v>373000</v>
          </cell>
          <cell r="B269" t="str">
            <v>Pasajes marítimos, lacustres y fluviales</v>
          </cell>
          <cell r="C269" t="str">
            <v>N</v>
          </cell>
        </row>
        <row r="270">
          <cell r="A270">
            <v>373001</v>
          </cell>
          <cell r="B270" t="str">
            <v>Pasajes marítimos</v>
          </cell>
          <cell r="C270" t="str">
            <v>S</v>
          </cell>
        </row>
        <row r="271">
          <cell r="A271">
            <v>374000</v>
          </cell>
          <cell r="B271" t="str">
            <v>Autotransporte</v>
          </cell>
          <cell r="C271" t="str">
            <v>N</v>
          </cell>
        </row>
        <row r="272">
          <cell r="A272">
            <v>374001</v>
          </cell>
          <cell r="B272" t="str">
            <v>Autotransporte</v>
          </cell>
          <cell r="C272" t="str">
            <v>S</v>
          </cell>
        </row>
        <row r="273">
          <cell r="A273">
            <v>375000</v>
          </cell>
          <cell r="B273" t="str">
            <v>Viáticos en el país</v>
          </cell>
          <cell r="C273" t="str">
            <v>N</v>
          </cell>
        </row>
        <row r="274">
          <cell r="A274">
            <v>375001</v>
          </cell>
          <cell r="B274" t="str">
            <v>Viáticos</v>
          </cell>
          <cell r="C274" t="str">
            <v>S</v>
          </cell>
        </row>
        <row r="275">
          <cell r="A275">
            <v>376000</v>
          </cell>
          <cell r="B275" t="str">
            <v>Viáticos en el extranjero</v>
          </cell>
          <cell r="C275" t="str">
            <v>N</v>
          </cell>
        </row>
        <row r="276">
          <cell r="A276">
            <v>376001</v>
          </cell>
          <cell r="B276" t="str">
            <v>Viáticos en el extranjero</v>
          </cell>
          <cell r="C276" t="str">
            <v>S</v>
          </cell>
        </row>
        <row r="277">
          <cell r="A277">
            <v>377000</v>
          </cell>
          <cell r="B277" t="str">
            <v>Gastos de instalación y traslado de menaje</v>
          </cell>
          <cell r="C277" t="str">
            <v>N</v>
          </cell>
        </row>
        <row r="278">
          <cell r="A278">
            <v>377001</v>
          </cell>
          <cell r="B278" t="str">
            <v>Gastos de instalación y traslado de menaje</v>
          </cell>
          <cell r="C278" t="str">
            <v>S</v>
          </cell>
        </row>
        <row r="279">
          <cell r="A279">
            <v>378000</v>
          </cell>
          <cell r="B279" t="str">
            <v>Servicios integrales de traslado y viáticos</v>
          </cell>
          <cell r="C279" t="str">
            <v>N</v>
          </cell>
        </row>
        <row r="280">
          <cell r="A280">
            <v>378001</v>
          </cell>
          <cell r="B280" t="str">
            <v>Diligencias judiciales</v>
          </cell>
          <cell r="C280" t="str">
            <v>S</v>
          </cell>
        </row>
        <row r="281">
          <cell r="A281">
            <v>379000</v>
          </cell>
          <cell r="B281" t="str">
            <v>Otros servicios de traslado y hospedaje</v>
          </cell>
          <cell r="C281" t="str">
            <v>N</v>
          </cell>
        </row>
        <row r="282">
          <cell r="A282">
            <v>379001</v>
          </cell>
          <cell r="B282" t="str">
            <v>Traslado de vehículos</v>
          </cell>
          <cell r="C282" t="str">
            <v>S</v>
          </cell>
        </row>
        <row r="283">
          <cell r="A283">
            <v>379002</v>
          </cell>
          <cell r="B283" t="str">
            <v>Gastos de traslado de personas</v>
          </cell>
          <cell r="C283" t="str">
            <v>S</v>
          </cell>
        </row>
        <row r="284">
          <cell r="A284">
            <v>379003</v>
          </cell>
          <cell r="B284" t="str">
            <v>Hospedaje de personas</v>
          </cell>
          <cell r="C284" t="str">
            <v>S</v>
          </cell>
        </row>
        <row r="285">
          <cell r="A285">
            <v>380000</v>
          </cell>
          <cell r="B285" t="str">
            <v>SERVICIOS OFICIALES</v>
          </cell>
          <cell r="C285" t="str">
            <v>N</v>
          </cell>
        </row>
        <row r="286">
          <cell r="A286">
            <v>381000</v>
          </cell>
          <cell r="B286" t="str">
            <v>Gastos de ceremonial</v>
          </cell>
          <cell r="C286" t="str">
            <v>N</v>
          </cell>
        </row>
        <row r="287">
          <cell r="A287">
            <v>381001</v>
          </cell>
          <cell r="B287" t="str">
            <v>Atención a personalidades nacionales y extranjeras</v>
          </cell>
          <cell r="C287" t="str">
            <v>S</v>
          </cell>
        </row>
        <row r="288">
          <cell r="A288">
            <v>382000</v>
          </cell>
          <cell r="B288" t="str">
            <v>Gastos de orden social y cultural</v>
          </cell>
          <cell r="C288" t="str">
            <v>N</v>
          </cell>
        </row>
        <row r="289">
          <cell r="A289">
            <v>382001</v>
          </cell>
          <cell r="B289" t="str">
            <v>Espectáculos y actividades culturales</v>
          </cell>
          <cell r="C289" t="str">
            <v>S</v>
          </cell>
        </row>
        <row r="290">
          <cell r="A290">
            <v>382002</v>
          </cell>
          <cell r="B290" t="str">
            <v>Gastos de recepción, conmemorativos y de orden social</v>
          </cell>
          <cell r="C290" t="str">
            <v>S</v>
          </cell>
        </row>
        <row r="291">
          <cell r="A291">
            <v>382003</v>
          </cell>
          <cell r="B291" t="str">
            <v>Adaptaciones para eventos sociales y culturales</v>
          </cell>
          <cell r="C291" t="str">
            <v>S</v>
          </cell>
        </row>
        <row r="292">
          <cell r="A292">
            <v>382004</v>
          </cell>
          <cell r="B292" t="str">
            <v>Festividades y Eventos</v>
          </cell>
          <cell r="C292" t="str">
            <v>S</v>
          </cell>
        </row>
        <row r="293">
          <cell r="A293">
            <v>383000</v>
          </cell>
          <cell r="B293" t="str">
            <v>Congresos y convenciones</v>
          </cell>
          <cell r="C293" t="str">
            <v>N</v>
          </cell>
        </row>
        <row r="294">
          <cell r="A294">
            <v>383001</v>
          </cell>
          <cell r="B294" t="str">
            <v>Congresos y convenciones</v>
          </cell>
          <cell r="C294" t="str">
            <v>S</v>
          </cell>
        </row>
        <row r="295">
          <cell r="A295">
            <v>384000</v>
          </cell>
          <cell r="B295" t="str">
            <v>Exposiciones</v>
          </cell>
          <cell r="C295" t="str">
            <v>N</v>
          </cell>
        </row>
        <row r="296">
          <cell r="A296">
            <v>384001</v>
          </cell>
          <cell r="B296" t="str">
            <v>Exposiciones</v>
          </cell>
          <cell r="C296" t="str">
            <v>S</v>
          </cell>
        </row>
        <row r="297">
          <cell r="A297">
            <v>385000</v>
          </cell>
          <cell r="B297" t="str">
            <v>Gastos de representación</v>
          </cell>
          <cell r="C297" t="str">
            <v>N</v>
          </cell>
        </row>
        <row r="298">
          <cell r="A298">
            <v>385001</v>
          </cell>
          <cell r="B298" t="str">
            <v>Gastos de representación</v>
          </cell>
          <cell r="C298" t="str">
            <v>S</v>
          </cell>
        </row>
        <row r="299">
          <cell r="A299">
            <v>390000</v>
          </cell>
          <cell r="B299" t="str">
            <v>OTROS SERVICIOS GENERALES</v>
          </cell>
          <cell r="C299" t="str">
            <v>N</v>
          </cell>
        </row>
        <row r="300">
          <cell r="A300">
            <v>391000</v>
          </cell>
          <cell r="B300" t="str">
            <v>Servicios funerarios y de cementerios</v>
          </cell>
          <cell r="C300" t="str">
            <v>N</v>
          </cell>
        </row>
        <row r="301">
          <cell r="A301">
            <v>391001</v>
          </cell>
          <cell r="B301" t="str">
            <v>Servicios funerarios y de cementerios</v>
          </cell>
          <cell r="C301" t="str">
            <v>S</v>
          </cell>
        </row>
        <row r="302">
          <cell r="A302">
            <v>392000</v>
          </cell>
          <cell r="B302" t="str">
            <v>Impuestos y derechos</v>
          </cell>
          <cell r="C302" t="str">
            <v>N</v>
          </cell>
        </row>
        <row r="303">
          <cell r="A303">
            <v>392001</v>
          </cell>
          <cell r="B303" t="str">
            <v>Impuestos y derechos</v>
          </cell>
          <cell r="C303" t="str">
            <v>S</v>
          </cell>
        </row>
        <row r="304">
          <cell r="A304">
            <v>393000</v>
          </cell>
          <cell r="B304" t="str">
            <v>Impuestos y derechos de importación</v>
          </cell>
          <cell r="C304" t="str">
            <v>N</v>
          </cell>
        </row>
        <row r="305">
          <cell r="A305">
            <v>393001</v>
          </cell>
          <cell r="B305" t="str">
            <v>Impuestos y derechos de importación</v>
          </cell>
          <cell r="C305" t="str">
            <v>S</v>
          </cell>
        </row>
        <row r="306">
          <cell r="A306">
            <v>394000</v>
          </cell>
          <cell r="B306" t="str">
            <v>Sentencias y resoluciones judiciales</v>
          </cell>
          <cell r="C306" t="str">
            <v>N</v>
          </cell>
        </row>
        <row r="307">
          <cell r="A307">
            <v>394001</v>
          </cell>
          <cell r="B307" t="str">
            <v>Sentencias y resoluciones judiciales</v>
          </cell>
          <cell r="C307" t="str">
            <v>S</v>
          </cell>
        </row>
        <row r="308">
          <cell r="A308">
            <v>395000</v>
          </cell>
          <cell r="B308" t="str">
            <v>Penas, multas, accesorios y actualizaciones</v>
          </cell>
          <cell r="C308" t="str">
            <v>N</v>
          </cell>
        </row>
        <row r="309">
          <cell r="A309">
            <v>395001</v>
          </cell>
          <cell r="B309" t="str">
            <v>Penas, multas, accesorios y actualizaciones</v>
          </cell>
          <cell r="C309" t="str">
            <v>S</v>
          </cell>
        </row>
        <row r="310">
          <cell r="A310">
            <v>396000</v>
          </cell>
          <cell r="B310" t="str">
            <v>Otros gastos por responsabilidades</v>
          </cell>
          <cell r="C310" t="str">
            <v>N</v>
          </cell>
        </row>
        <row r="311">
          <cell r="A311">
            <v>396001</v>
          </cell>
          <cell r="B311" t="str">
            <v>Otros gastos por responsabilidades</v>
          </cell>
          <cell r="C311" t="str">
            <v>S</v>
          </cell>
        </row>
        <row r="312">
          <cell r="A312">
            <v>399000</v>
          </cell>
          <cell r="B312" t="str">
            <v>Otros servicios generales</v>
          </cell>
          <cell r="C312" t="str">
            <v>N</v>
          </cell>
        </row>
        <row r="313">
          <cell r="A313">
            <v>399001</v>
          </cell>
          <cell r="B313" t="str">
            <v>Gastos menores</v>
          </cell>
          <cell r="C313" t="str">
            <v>S</v>
          </cell>
        </row>
        <row r="314">
          <cell r="A314">
            <v>399002</v>
          </cell>
          <cell r="B314" t="str">
            <v>Retribuciones a reos</v>
          </cell>
          <cell r="C314" t="str">
            <v>S</v>
          </cell>
        </row>
        <row r="315">
          <cell r="A315">
            <v>399003</v>
          </cell>
          <cell r="B315" t="str">
            <v>Otros servicios de la administración pública</v>
          </cell>
          <cell r="C315" t="str">
            <v>S</v>
          </cell>
        </row>
        <row r="316">
          <cell r="A316">
            <v>399004</v>
          </cell>
          <cell r="B316" t="str">
            <v>Previsión Arrendamientos</v>
          </cell>
          <cell r="C316" t="str">
            <v>Prev</v>
          </cell>
        </row>
        <row r="317">
          <cell r="A317">
            <v>500000</v>
          </cell>
          <cell r="B317" t="str">
            <v>BIENES MUEBLES, INMUEBLES E INTANGIBLES</v>
          </cell>
          <cell r="C317" t="str">
            <v>N</v>
          </cell>
        </row>
        <row r="318">
          <cell r="A318">
            <v>510000</v>
          </cell>
          <cell r="B318" t="str">
            <v>MOBILIARIO Y EQUIPO DE ADMINISTRACIÓN</v>
          </cell>
          <cell r="C318" t="str">
            <v>N</v>
          </cell>
        </row>
        <row r="319">
          <cell r="A319">
            <v>511000</v>
          </cell>
          <cell r="B319" t="str">
            <v>Muebles de oficina y estantería</v>
          </cell>
          <cell r="C319" t="str">
            <v>N</v>
          </cell>
        </row>
        <row r="320">
          <cell r="A320">
            <v>511001</v>
          </cell>
          <cell r="B320" t="str">
            <v>Mobiliario</v>
          </cell>
          <cell r="C320" t="str">
            <v>S</v>
          </cell>
        </row>
        <row r="321">
          <cell r="A321">
            <v>512000</v>
          </cell>
          <cell r="B321" t="str">
            <v>Muebles, excepto de oficina y estantería</v>
          </cell>
          <cell r="C321" t="str">
            <v>N</v>
          </cell>
        </row>
        <row r="322">
          <cell r="A322">
            <v>512001</v>
          </cell>
          <cell r="B322" t="str">
            <v>Muebles, excepto de oficina y estantería</v>
          </cell>
          <cell r="C322" t="str">
            <v>S</v>
          </cell>
        </row>
        <row r="323">
          <cell r="A323">
            <v>513000</v>
          </cell>
          <cell r="B323" t="str">
            <v>Bienes artísticos, culturales y científicos</v>
          </cell>
          <cell r="C323" t="str">
            <v>N</v>
          </cell>
        </row>
        <row r="324">
          <cell r="A324">
            <v>513001</v>
          </cell>
          <cell r="B324" t="str">
            <v>Bienes artísticos y culturales</v>
          </cell>
          <cell r="C324" t="str">
            <v>S</v>
          </cell>
        </row>
        <row r="325">
          <cell r="A325">
            <v>514000</v>
          </cell>
          <cell r="B325" t="str">
            <v>Objetos de valor</v>
          </cell>
          <cell r="C325" t="str">
            <v>N</v>
          </cell>
        </row>
        <row r="326">
          <cell r="A326">
            <v>514001</v>
          </cell>
          <cell r="B326" t="str">
            <v>Objetos de valor</v>
          </cell>
          <cell r="C326" t="str">
            <v>S</v>
          </cell>
        </row>
        <row r="327">
          <cell r="A327">
            <v>515000</v>
          </cell>
          <cell r="B327" t="str">
            <v>Equipo de cómputo y de tecnologías de la información</v>
          </cell>
          <cell r="C327" t="str">
            <v>N</v>
          </cell>
        </row>
        <row r="328">
          <cell r="A328">
            <v>515001</v>
          </cell>
          <cell r="B328" t="str">
            <v>Equipo de administración</v>
          </cell>
          <cell r="C328" t="str">
            <v>S</v>
          </cell>
        </row>
        <row r="329">
          <cell r="A329">
            <v>515002</v>
          </cell>
          <cell r="B329" t="str">
            <v>Equipo de Cómputo y Aparatos de Uso Informático</v>
          </cell>
          <cell r="C329" t="str">
            <v>S</v>
          </cell>
        </row>
        <row r="330">
          <cell r="A330">
            <v>515003</v>
          </cell>
          <cell r="B330" t="str">
            <v>Sistemas de Rastreo Satelital (GPS)</v>
          </cell>
          <cell r="C330" t="str">
            <v>S</v>
          </cell>
        </row>
        <row r="331">
          <cell r="A331">
            <v>519000</v>
          </cell>
          <cell r="B331" t="str">
            <v>Otros mobiliarios y equipos de administración</v>
          </cell>
          <cell r="C331" t="str">
            <v>N</v>
          </cell>
        </row>
        <row r="332">
          <cell r="A332">
            <v>519001</v>
          </cell>
          <cell r="B332" t="str">
            <v>Cámaras y Circuitos Cerrados de Seguridad</v>
          </cell>
          <cell r="C332" t="str">
            <v>S</v>
          </cell>
        </row>
        <row r="333">
          <cell r="A333">
            <v>519002</v>
          </cell>
          <cell r="B333" t="str">
            <v>Equipos de Audio</v>
          </cell>
          <cell r="C333" t="str">
            <v>S</v>
          </cell>
        </row>
        <row r="334">
          <cell r="A334">
            <v>519003</v>
          </cell>
          <cell r="B334" t="str">
            <v>Otras Herramientas, Mobiliarios y Eq. De Administración</v>
          </cell>
          <cell r="C334" t="str">
            <v>S</v>
          </cell>
        </row>
        <row r="335">
          <cell r="A335">
            <v>519004</v>
          </cell>
          <cell r="B335" t="str">
            <v>Aulas Móviles de Vigilancia</v>
          </cell>
          <cell r="C335" t="str">
            <v>S</v>
          </cell>
        </row>
        <row r="336">
          <cell r="A336">
            <v>520000</v>
          </cell>
          <cell r="B336" t="str">
            <v>MOBILIARIO Y EQUIPO EDUCACIONAL Y RECREATIVO</v>
          </cell>
          <cell r="C336" t="str">
            <v>N</v>
          </cell>
        </row>
        <row r="337">
          <cell r="A337">
            <v>521000</v>
          </cell>
          <cell r="B337" t="str">
            <v>Equipos y aparatos audiovisuales</v>
          </cell>
          <cell r="C337" t="str">
            <v>N</v>
          </cell>
        </row>
        <row r="338">
          <cell r="A338">
            <v>521001</v>
          </cell>
          <cell r="B338" t="str">
            <v>Equipo educacional y recreativo</v>
          </cell>
          <cell r="C338" t="str">
            <v>S</v>
          </cell>
        </row>
        <row r="339">
          <cell r="A339">
            <v>522000</v>
          </cell>
          <cell r="B339" t="str">
            <v>Aparatos deportivos</v>
          </cell>
          <cell r="C339" t="str">
            <v>N</v>
          </cell>
        </row>
        <row r="340">
          <cell r="A340">
            <v>522001</v>
          </cell>
          <cell r="B340" t="str">
            <v>Aparatos deportivos</v>
          </cell>
          <cell r="C340" t="str">
            <v>S</v>
          </cell>
        </row>
        <row r="341">
          <cell r="A341">
            <v>523000</v>
          </cell>
          <cell r="B341" t="str">
            <v>Cámaras fotográficas y de video</v>
          </cell>
          <cell r="C341" t="str">
            <v>N</v>
          </cell>
        </row>
        <row r="342">
          <cell r="A342">
            <v>523001</v>
          </cell>
          <cell r="B342" t="str">
            <v>Cámaras Fotográficas</v>
          </cell>
          <cell r="C342" t="str">
            <v>S</v>
          </cell>
        </row>
        <row r="343">
          <cell r="A343">
            <v>523002</v>
          </cell>
          <cell r="B343" t="str">
            <v>Cámaras de Video</v>
          </cell>
          <cell r="C343" t="str">
            <v>S</v>
          </cell>
        </row>
        <row r="344">
          <cell r="A344">
            <v>529000</v>
          </cell>
          <cell r="B344" t="str">
            <v>Otro mobiliario y equipo educacional y recreativo</v>
          </cell>
          <cell r="C344" t="str">
            <v>N</v>
          </cell>
        </row>
        <row r="345">
          <cell r="A345">
            <v>529001</v>
          </cell>
          <cell r="B345" t="str">
            <v>Instrumentos Musicales</v>
          </cell>
          <cell r="C345" t="str">
            <v>S</v>
          </cell>
        </row>
        <row r="346">
          <cell r="A346">
            <v>529002</v>
          </cell>
          <cell r="B346" t="str">
            <v>Equipo Educacional</v>
          </cell>
          <cell r="C346" t="str">
            <v>S</v>
          </cell>
        </row>
        <row r="347">
          <cell r="A347">
            <v>530000</v>
          </cell>
          <cell r="B347" t="str">
            <v>EQUIPO E INSTRUMENTAL MÉDICO Y DE LABORATORIO</v>
          </cell>
          <cell r="C347" t="str">
            <v>N</v>
          </cell>
        </row>
        <row r="348">
          <cell r="A348">
            <v>531000</v>
          </cell>
          <cell r="B348" t="str">
            <v>Equipo médico y de laboratorio</v>
          </cell>
          <cell r="C348" t="str">
            <v>N</v>
          </cell>
        </row>
        <row r="349">
          <cell r="A349">
            <v>531001</v>
          </cell>
          <cell r="B349" t="str">
            <v>Equipo e instrumental medico</v>
          </cell>
          <cell r="C349" t="str">
            <v>S</v>
          </cell>
        </row>
        <row r="350">
          <cell r="A350">
            <v>532000</v>
          </cell>
          <cell r="B350" t="str">
            <v>Instrumental médico y de laboratorio</v>
          </cell>
          <cell r="C350" t="str">
            <v>N</v>
          </cell>
        </row>
        <row r="351">
          <cell r="A351">
            <v>532001</v>
          </cell>
          <cell r="B351" t="str">
            <v>Instrumental médico y de laboratorio</v>
          </cell>
          <cell r="C351" t="str">
            <v>S</v>
          </cell>
        </row>
        <row r="352">
          <cell r="A352">
            <v>540000</v>
          </cell>
          <cell r="B352" t="str">
            <v>VEHÍCULOS Y EQUIPO DE TRANSPORTE</v>
          </cell>
          <cell r="C352" t="str">
            <v>N</v>
          </cell>
        </row>
        <row r="353">
          <cell r="A353">
            <v>541000</v>
          </cell>
          <cell r="B353" t="str">
            <v>Automóviles y camiones</v>
          </cell>
          <cell r="C353" t="str">
            <v>N</v>
          </cell>
        </row>
        <row r="354">
          <cell r="A354">
            <v>541001</v>
          </cell>
          <cell r="B354" t="str">
            <v>Vehículos y equipo terrestre</v>
          </cell>
          <cell r="C354" t="str">
            <v>S</v>
          </cell>
        </row>
        <row r="355">
          <cell r="A355">
            <v>542000</v>
          </cell>
          <cell r="B355" t="str">
            <v>Carrocerías y remolques</v>
          </cell>
          <cell r="C355" t="str">
            <v>N</v>
          </cell>
        </row>
        <row r="356">
          <cell r="A356">
            <v>542001</v>
          </cell>
          <cell r="B356" t="str">
            <v>Carrocerías y remolques</v>
          </cell>
          <cell r="C356" t="str">
            <v>S</v>
          </cell>
        </row>
        <row r="357">
          <cell r="A357">
            <v>543000</v>
          </cell>
          <cell r="B357" t="str">
            <v>Equipo aeroespacial</v>
          </cell>
          <cell r="C357" t="str">
            <v>N</v>
          </cell>
        </row>
        <row r="358">
          <cell r="A358">
            <v>543001</v>
          </cell>
          <cell r="B358" t="str">
            <v>Vehículos y equipo de transporte aéreo</v>
          </cell>
          <cell r="C358" t="str">
            <v>S</v>
          </cell>
        </row>
        <row r="359">
          <cell r="A359">
            <v>544000</v>
          </cell>
          <cell r="B359" t="str">
            <v>Equipo ferroviario</v>
          </cell>
          <cell r="C359" t="str">
            <v>N</v>
          </cell>
        </row>
        <row r="360">
          <cell r="A360">
            <v>544001</v>
          </cell>
          <cell r="B360" t="str">
            <v>Equipo ferroviario</v>
          </cell>
          <cell r="C360" t="str">
            <v>S</v>
          </cell>
        </row>
        <row r="361">
          <cell r="A361">
            <v>545000</v>
          </cell>
          <cell r="B361" t="str">
            <v>Embarcaciones</v>
          </cell>
          <cell r="C361" t="str">
            <v>N</v>
          </cell>
        </row>
        <row r="362">
          <cell r="A362">
            <v>545001</v>
          </cell>
          <cell r="B362" t="str">
            <v>Vehículos y equipo marino</v>
          </cell>
          <cell r="C362" t="str">
            <v>S</v>
          </cell>
        </row>
        <row r="363">
          <cell r="A363">
            <v>549000</v>
          </cell>
          <cell r="B363" t="str">
            <v>Otros Equipos de Transporte</v>
          </cell>
          <cell r="C363" t="str">
            <v>N</v>
          </cell>
        </row>
        <row r="364">
          <cell r="A364">
            <v>549001</v>
          </cell>
          <cell r="B364" t="str">
            <v>Otros equipos de transporte</v>
          </cell>
          <cell r="C364" t="str">
            <v>S</v>
          </cell>
        </row>
        <row r="365">
          <cell r="A365">
            <v>550000</v>
          </cell>
          <cell r="B365" t="str">
            <v>EQUIPO DE DEFENSA Y SEGURIDAD</v>
          </cell>
          <cell r="C365" t="str">
            <v>N</v>
          </cell>
        </row>
        <row r="366">
          <cell r="A366">
            <v>551000</v>
          </cell>
          <cell r="B366" t="str">
            <v>Equipo de defensa y seguridad</v>
          </cell>
          <cell r="C366" t="str">
            <v>N</v>
          </cell>
        </row>
        <row r="367">
          <cell r="A367">
            <v>551001</v>
          </cell>
          <cell r="B367" t="str">
            <v>Equipo de defensa y seguridad pública</v>
          </cell>
          <cell r="C367" t="str">
            <v>S</v>
          </cell>
        </row>
        <row r="368">
          <cell r="A368">
            <v>560000</v>
          </cell>
          <cell r="B368" t="str">
            <v>MAQUINARIA, OTROS EQUIPOS Y HERRAMIENTAS</v>
          </cell>
          <cell r="C368" t="str">
            <v>N</v>
          </cell>
        </row>
        <row r="369">
          <cell r="A369">
            <v>561000</v>
          </cell>
          <cell r="B369" t="str">
            <v>Maquinaria y equipo agropecuario</v>
          </cell>
          <cell r="C369" t="str">
            <v>N</v>
          </cell>
        </row>
        <row r="370">
          <cell r="A370">
            <v>561001</v>
          </cell>
          <cell r="B370" t="str">
            <v>Maquinaria y equipo agropecuario, industrial y de construcción</v>
          </cell>
          <cell r="C370" t="str">
            <v>S</v>
          </cell>
        </row>
        <row r="371">
          <cell r="A371">
            <v>562000</v>
          </cell>
          <cell r="B371" t="str">
            <v>Maquinaria y equipo industrial</v>
          </cell>
          <cell r="C371" t="str">
            <v>N</v>
          </cell>
        </row>
        <row r="372">
          <cell r="A372">
            <v>562001</v>
          </cell>
          <cell r="B372" t="str">
            <v>Bombas Industriales</v>
          </cell>
          <cell r="C372" t="str">
            <v>S</v>
          </cell>
        </row>
        <row r="373">
          <cell r="A373">
            <v>563000</v>
          </cell>
          <cell r="B373" t="str">
            <v>Maquinaria y equipo de construcción</v>
          </cell>
          <cell r="C373" t="str">
            <v>N</v>
          </cell>
        </row>
        <row r="374">
          <cell r="A374">
            <v>563001</v>
          </cell>
          <cell r="B374" t="str">
            <v>Maquinaria y equipo de construcción</v>
          </cell>
          <cell r="C374" t="str">
            <v>S</v>
          </cell>
        </row>
        <row r="375">
          <cell r="A375">
            <v>564000</v>
          </cell>
          <cell r="B375" t="str">
            <v>Sistemas de aire acondicionado, calefacción y de refrigeración industrial y comercial</v>
          </cell>
          <cell r="C375" t="str">
            <v>N</v>
          </cell>
        </row>
        <row r="376">
          <cell r="A376">
            <v>564001</v>
          </cell>
          <cell r="B376" t="str">
            <v>Sistemas de aire acondicionado, calefacción y de refrigeración industrial y comercial</v>
          </cell>
          <cell r="C376" t="str">
            <v>S</v>
          </cell>
        </row>
        <row r="377">
          <cell r="A377">
            <v>565000</v>
          </cell>
          <cell r="B377" t="str">
            <v>Equipo de comunicación y telecomunicación</v>
          </cell>
          <cell r="C377" t="str">
            <v>N</v>
          </cell>
        </row>
        <row r="378">
          <cell r="A378">
            <v>565001</v>
          </cell>
          <cell r="B378" t="str">
            <v>Maq. y equipo de telecomunicaciones, eléctrica y electrónica</v>
          </cell>
          <cell r="C378" t="str">
            <v>S</v>
          </cell>
        </row>
        <row r="379">
          <cell r="A379">
            <v>566000</v>
          </cell>
          <cell r="B379" t="str">
            <v>Equipos de generación eléctrica, aparatos y accesorios eléctricos</v>
          </cell>
          <cell r="C379" t="str">
            <v>N</v>
          </cell>
        </row>
        <row r="380">
          <cell r="A380">
            <v>566001</v>
          </cell>
          <cell r="B380" t="str">
            <v>Equipos de generación eléctrica</v>
          </cell>
          <cell r="C380" t="str">
            <v>S</v>
          </cell>
        </row>
        <row r="381">
          <cell r="A381">
            <v>566002</v>
          </cell>
          <cell r="B381" t="str">
            <v>Aparatos y Accesorios eléctricos</v>
          </cell>
          <cell r="C381" t="str">
            <v>S</v>
          </cell>
        </row>
        <row r="382">
          <cell r="A382">
            <v>567000</v>
          </cell>
          <cell r="B382" t="str">
            <v>Herramientas y máquinas-herramienta</v>
          </cell>
          <cell r="C382" t="str">
            <v>N</v>
          </cell>
        </row>
        <row r="383">
          <cell r="A383">
            <v>567001</v>
          </cell>
          <cell r="B383" t="str">
            <v>Herramientas y refacciones mayores</v>
          </cell>
          <cell r="C383" t="str">
            <v>S</v>
          </cell>
        </row>
        <row r="384">
          <cell r="A384">
            <v>569000</v>
          </cell>
          <cell r="B384" t="str">
            <v>Otros equipos</v>
          </cell>
          <cell r="C384" t="str">
            <v>N</v>
          </cell>
        </row>
        <row r="385">
          <cell r="A385">
            <v>569001</v>
          </cell>
          <cell r="B385" t="str">
            <v>Maquinaria y equipo diverso</v>
          </cell>
          <cell r="C385" t="str">
            <v>S</v>
          </cell>
        </row>
        <row r="386">
          <cell r="A386">
            <v>570000</v>
          </cell>
          <cell r="B386" t="str">
            <v>ACTIVOS BIOLÓGICOS</v>
          </cell>
          <cell r="C386" t="str">
            <v>N</v>
          </cell>
        </row>
        <row r="387">
          <cell r="A387">
            <v>571000</v>
          </cell>
          <cell r="B387" t="str">
            <v>Bovinos</v>
          </cell>
          <cell r="C387" t="str">
            <v>N</v>
          </cell>
        </row>
        <row r="388">
          <cell r="A388">
            <v>571001</v>
          </cell>
          <cell r="B388" t="str">
            <v>Bovinos</v>
          </cell>
          <cell r="C388" t="str">
            <v>S</v>
          </cell>
        </row>
        <row r="389">
          <cell r="A389">
            <v>572000</v>
          </cell>
          <cell r="B389" t="str">
            <v>Porcinos</v>
          </cell>
          <cell r="C389" t="str">
            <v>N</v>
          </cell>
        </row>
        <row r="390">
          <cell r="A390">
            <v>572001</v>
          </cell>
          <cell r="B390" t="str">
            <v>Porcinos</v>
          </cell>
          <cell r="C390" t="str">
            <v>S</v>
          </cell>
        </row>
        <row r="391">
          <cell r="A391">
            <v>573000</v>
          </cell>
          <cell r="B391" t="str">
            <v>Aves</v>
          </cell>
          <cell r="C391" t="str">
            <v>N</v>
          </cell>
        </row>
        <row r="392">
          <cell r="A392">
            <v>573001</v>
          </cell>
          <cell r="B392" t="str">
            <v>Aves</v>
          </cell>
          <cell r="C392" t="str">
            <v>S</v>
          </cell>
        </row>
        <row r="393">
          <cell r="A393">
            <v>574000</v>
          </cell>
          <cell r="B393" t="str">
            <v>Ovinos y caprinos</v>
          </cell>
          <cell r="C393" t="str">
            <v>N</v>
          </cell>
        </row>
        <row r="394">
          <cell r="A394">
            <v>574001</v>
          </cell>
          <cell r="B394" t="str">
            <v>Ovinos y caprinos</v>
          </cell>
          <cell r="C394" t="str">
            <v>S</v>
          </cell>
        </row>
        <row r="395">
          <cell r="A395">
            <v>575000</v>
          </cell>
          <cell r="B395" t="str">
            <v>Peces y acuicultura</v>
          </cell>
          <cell r="C395" t="str">
            <v>N</v>
          </cell>
        </row>
        <row r="396">
          <cell r="A396">
            <v>575001</v>
          </cell>
          <cell r="B396" t="str">
            <v>Peces y acuicultura</v>
          </cell>
          <cell r="C396" t="str">
            <v>S</v>
          </cell>
        </row>
        <row r="397">
          <cell r="A397">
            <v>576000</v>
          </cell>
          <cell r="B397" t="str">
            <v>Equinos</v>
          </cell>
          <cell r="C397" t="str">
            <v>N</v>
          </cell>
        </row>
        <row r="398">
          <cell r="A398">
            <v>576001</v>
          </cell>
          <cell r="B398" t="str">
            <v>Equinos</v>
          </cell>
          <cell r="C398" t="str">
            <v>S</v>
          </cell>
        </row>
        <row r="399">
          <cell r="A399">
            <v>577000</v>
          </cell>
          <cell r="B399" t="str">
            <v>Especies menores y de zoológico</v>
          </cell>
          <cell r="C399" t="str">
            <v>N</v>
          </cell>
        </row>
        <row r="400">
          <cell r="A400">
            <v>577001</v>
          </cell>
          <cell r="B400" t="str">
            <v>Especies menores y de zoológico</v>
          </cell>
          <cell r="C400" t="str">
            <v>S</v>
          </cell>
        </row>
        <row r="401">
          <cell r="A401">
            <v>578000</v>
          </cell>
          <cell r="B401" t="str">
            <v>Árboles y plantas</v>
          </cell>
          <cell r="C401" t="str">
            <v>N</v>
          </cell>
        </row>
        <row r="402">
          <cell r="A402">
            <v>578001</v>
          </cell>
          <cell r="B402" t="str">
            <v>Árboles y plantas</v>
          </cell>
          <cell r="C402" t="str">
            <v>S</v>
          </cell>
        </row>
        <row r="403">
          <cell r="A403">
            <v>579000</v>
          </cell>
          <cell r="B403" t="str">
            <v>Otros activos biológicos</v>
          </cell>
          <cell r="C403" t="str">
            <v>N</v>
          </cell>
        </row>
        <row r="404">
          <cell r="A404">
            <v>579001</v>
          </cell>
          <cell r="B404" t="str">
            <v>Otros activos biológicos</v>
          </cell>
          <cell r="C404" t="str">
            <v>S</v>
          </cell>
        </row>
        <row r="405">
          <cell r="A405">
            <v>580000</v>
          </cell>
          <cell r="B405" t="str">
            <v>BIENES INMUEBLES</v>
          </cell>
          <cell r="C405" t="str">
            <v>N</v>
          </cell>
        </row>
        <row r="406">
          <cell r="A406">
            <v>581000</v>
          </cell>
          <cell r="B406" t="str">
            <v>Terrenos</v>
          </cell>
          <cell r="C406" t="str">
            <v>N</v>
          </cell>
        </row>
        <row r="407">
          <cell r="A407">
            <v>581001</v>
          </cell>
          <cell r="B407" t="str">
            <v>Terrenos</v>
          </cell>
          <cell r="C407" t="str">
            <v>S</v>
          </cell>
        </row>
        <row r="408">
          <cell r="A408">
            <v>582000</v>
          </cell>
          <cell r="B408" t="str">
            <v>Viviendas</v>
          </cell>
          <cell r="C408" t="str">
            <v>N</v>
          </cell>
        </row>
        <row r="409">
          <cell r="A409">
            <v>582001</v>
          </cell>
          <cell r="B409" t="str">
            <v>Viviendas</v>
          </cell>
          <cell r="C409" t="str">
            <v>S</v>
          </cell>
        </row>
        <row r="410">
          <cell r="A410">
            <v>583000</v>
          </cell>
          <cell r="B410" t="str">
            <v>Edificios no residenciales</v>
          </cell>
          <cell r="C410" t="str">
            <v>N</v>
          </cell>
        </row>
        <row r="411">
          <cell r="A411">
            <v>583001</v>
          </cell>
          <cell r="B411" t="str">
            <v>Edificios y locales</v>
          </cell>
          <cell r="C411" t="str">
            <v>S</v>
          </cell>
        </row>
        <row r="412">
          <cell r="A412">
            <v>589000</v>
          </cell>
          <cell r="B412" t="str">
            <v>Otros bienes inmuebles</v>
          </cell>
          <cell r="C412" t="str">
            <v>N</v>
          </cell>
        </row>
        <row r="413">
          <cell r="A413">
            <v>589001</v>
          </cell>
          <cell r="B413" t="str">
            <v>Adjudicaciones, expropiaciones e indemnizaciones de inmuebles</v>
          </cell>
          <cell r="C413" t="str">
            <v>S</v>
          </cell>
        </row>
        <row r="414">
          <cell r="A414">
            <v>590000</v>
          </cell>
          <cell r="B414" t="str">
            <v>ACTIVOS INTANGIBLES</v>
          </cell>
          <cell r="C414" t="str">
            <v>N</v>
          </cell>
        </row>
        <row r="415">
          <cell r="A415">
            <v>591000</v>
          </cell>
          <cell r="B415" t="str">
            <v>Software</v>
          </cell>
          <cell r="C415" t="str">
            <v>N</v>
          </cell>
        </row>
        <row r="416">
          <cell r="A416">
            <v>591001</v>
          </cell>
          <cell r="B416" t="str">
            <v>Software</v>
          </cell>
          <cell r="C416" t="str">
            <v>S</v>
          </cell>
        </row>
        <row r="417">
          <cell r="A417">
            <v>592000</v>
          </cell>
          <cell r="B417" t="str">
            <v>Patentes</v>
          </cell>
          <cell r="C417" t="str">
            <v>N</v>
          </cell>
        </row>
        <row r="418">
          <cell r="A418">
            <v>592001</v>
          </cell>
          <cell r="B418" t="str">
            <v>Patentes</v>
          </cell>
          <cell r="C418" t="str">
            <v>S</v>
          </cell>
        </row>
        <row r="419">
          <cell r="A419">
            <v>593000</v>
          </cell>
          <cell r="B419" t="str">
            <v>Marcas</v>
          </cell>
          <cell r="C419" t="str">
            <v>N</v>
          </cell>
        </row>
        <row r="420">
          <cell r="A420">
            <v>593001</v>
          </cell>
          <cell r="B420" t="str">
            <v>Marcas</v>
          </cell>
          <cell r="C420" t="str">
            <v>S</v>
          </cell>
        </row>
        <row r="421">
          <cell r="A421">
            <v>594000</v>
          </cell>
          <cell r="B421" t="str">
            <v>Derechos</v>
          </cell>
          <cell r="C421" t="str">
            <v>N</v>
          </cell>
        </row>
        <row r="422">
          <cell r="A422">
            <v>594001</v>
          </cell>
          <cell r="B422" t="str">
            <v>Derechos</v>
          </cell>
          <cell r="C422" t="str">
            <v>S</v>
          </cell>
        </row>
        <row r="423">
          <cell r="A423">
            <v>595000</v>
          </cell>
          <cell r="B423" t="str">
            <v>Concesiones</v>
          </cell>
          <cell r="C423" t="str">
            <v>N</v>
          </cell>
        </row>
        <row r="424">
          <cell r="A424">
            <v>595001</v>
          </cell>
          <cell r="B424" t="str">
            <v>Concesiones</v>
          </cell>
          <cell r="C424" t="str">
            <v>S</v>
          </cell>
        </row>
        <row r="425">
          <cell r="A425">
            <v>596000</v>
          </cell>
          <cell r="B425" t="str">
            <v>Franquicias</v>
          </cell>
          <cell r="C425" t="str">
            <v>N</v>
          </cell>
        </row>
        <row r="426">
          <cell r="A426">
            <v>596001</v>
          </cell>
          <cell r="B426" t="str">
            <v>Franquicias</v>
          </cell>
          <cell r="C426" t="str">
            <v>S</v>
          </cell>
        </row>
        <row r="427">
          <cell r="A427">
            <v>597000</v>
          </cell>
          <cell r="B427" t="str">
            <v>Licencias informáticas e intelectuales</v>
          </cell>
          <cell r="C427" t="str">
            <v>N</v>
          </cell>
        </row>
        <row r="428">
          <cell r="A428">
            <v>597001</v>
          </cell>
          <cell r="B428" t="str">
            <v>Licencias para programas de antivirus</v>
          </cell>
          <cell r="C428" t="str">
            <v>S</v>
          </cell>
        </row>
        <row r="429">
          <cell r="A429">
            <v>597002</v>
          </cell>
          <cell r="B429" t="str">
            <v>Licencias Microsoft Windows server 2003 edición estándar</v>
          </cell>
          <cell r="C429" t="str">
            <v>S</v>
          </cell>
        </row>
        <row r="430">
          <cell r="A430">
            <v>598000</v>
          </cell>
          <cell r="B430" t="str">
            <v>Licencias industriales, comerciales y otras</v>
          </cell>
          <cell r="C430" t="str">
            <v>N</v>
          </cell>
        </row>
        <row r="431">
          <cell r="A431">
            <v>598001</v>
          </cell>
          <cell r="B431" t="str">
            <v>Licencias industriales, comerciales y otras</v>
          </cell>
          <cell r="C431" t="str">
            <v>S</v>
          </cell>
        </row>
        <row r="432">
          <cell r="A432">
            <v>599000</v>
          </cell>
          <cell r="B432" t="str">
            <v>Otros activos intangibles</v>
          </cell>
          <cell r="C432" t="str">
            <v>N</v>
          </cell>
        </row>
        <row r="433">
          <cell r="A433">
            <v>599001</v>
          </cell>
          <cell r="B433" t="str">
            <v>Otros activos intangibles</v>
          </cell>
          <cell r="C433" t="str">
            <v>S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AS"/>
      <sheetName val="CAPITULO"/>
      <sheetName val="PARTIDA"/>
      <sheetName val="COG"/>
      <sheetName val="FF"/>
      <sheetName val="PROCED"/>
    </sheetNames>
    <sheetDataSet>
      <sheetData sheetId="0"/>
      <sheetData sheetId="1"/>
      <sheetData sheetId="2"/>
      <sheetData sheetId="3">
        <row r="1">
          <cell r="A1" t="str">
            <v>CUENTA</v>
          </cell>
          <cell r="B1" t="str">
            <v>CONCEPTO</v>
          </cell>
          <cell r="C1" t="str">
            <v>AFECTABLE/ NO
AFECTABLE</v>
          </cell>
        </row>
        <row r="2">
          <cell r="A2">
            <v>210000</v>
          </cell>
          <cell r="B2" t="str">
            <v>MATERIALES DE ADMINISTRACIÓN, EMISIÓN DE DOCUMENTOS Y ARTÍCULO OFICIALES</v>
          </cell>
          <cell r="C2" t="str">
            <v>N</v>
          </cell>
        </row>
        <row r="3">
          <cell r="A3">
            <v>211000</v>
          </cell>
          <cell r="B3" t="str">
            <v>Materiales, útiles y equipos menores de oficina</v>
          </cell>
          <cell r="C3" t="str">
            <v>N</v>
          </cell>
        </row>
        <row r="4">
          <cell r="A4">
            <v>211001</v>
          </cell>
          <cell r="B4" t="str">
            <v>Material de oficina</v>
          </cell>
          <cell r="C4" t="str">
            <v>S</v>
          </cell>
        </row>
        <row r="5">
          <cell r="A5">
            <v>212000</v>
          </cell>
          <cell r="B5" t="str">
            <v>Materiales y útiles de impresión y reproducción</v>
          </cell>
          <cell r="C5" t="str">
            <v>N</v>
          </cell>
        </row>
        <row r="6">
          <cell r="A6">
            <v>212001</v>
          </cell>
          <cell r="B6" t="str">
            <v>Material y útiles de impresión</v>
          </cell>
          <cell r="C6" t="str">
            <v>S</v>
          </cell>
        </row>
        <row r="7">
          <cell r="A7">
            <v>213000</v>
          </cell>
          <cell r="B7" t="str">
            <v>Material estadístico y geográfico</v>
          </cell>
          <cell r="C7" t="str">
            <v>N</v>
          </cell>
        </row>
        <row r="8">
          <cell r="A8">
            <v>213001</v>
          </cell>
          <cell r="B8" t="str">
            <v>Material estadístico y geográfico</v>
          </cell>
          <cell r="C8" t="str">
            <v>S</v>
          </cell>
        </row>
        <row r="9">
          <cell r="A9">
            <v>214000</v>
          </cell>
          <cell r="B9" t="str">
            <v>Materiales, útiles y equipos menores de tecnologías de la información y comunicaciones</v>
          </cell>
          <cell r="C9" t="str">
            <v>N</v>
          </cell>
        </row>
        <row r="10">
          <cell r="A10">
            <v>214001</v>
          </cell>
          <cell r="B10" t="str">
            <v>Materiales, útiles y equipos menores de tecnologías de la información y comunicaciones</v>
          </cell>
          <cell r="C10" t="str">
            <v>S</v>
          </cell>
        </row>
        <row r="11">
          <cell r="A11">
            <v>215000</v>
          </cell>
          <cell r="B11" t="str">
            <v>Material impreso e información digital</v>
          </cell>
          <cell r="C11" t="str">
            <v>N</v>
          </cell>
        </row>
        <row r="12">
          <cell r="A12">
            <v>215001</v>
          </cell>
          <cell r="B12" t="str">
            <v>Material didáctico</v>
          </cell>
          <cell r="C12" t="str">
            <v>S</v>
          </cell>
        </row>
        <row r="13">
          <cell r="A13">
            <v>215002</v>
          </cell>
          <cell r="B13" t="str">
            <v>Suscripciones a Periódicos, Revistas y Publicaciones Especializadas</v>
          </cell>
          <cell r="C13" t="str">
            <v>S</v>
          </cell>
        </row>
        <row r="14">
          <cell r="A14">
            <v>215003</v>
          </cell>
          <cell r="B14" t="str">
            <v>Material impreso e información digital</v>
          </cell>
          <cell r="C14" t="str">
            <v>S</v>
          </cell>
        </row>
        <row r="15">
          <cell r="A15">
            <v>216000</v>
          </cell>
          <cell r="B15" t="str">
            <v>Material de limpieza</v>
          </cell>
          <cell r="C15" t="str">
            <v>N</v>
          </cell>
        </row>
        <row r="16">
          <cell r="A16">
            <v>216001</v>
          </cell>
          <cell r="B16" t="str">
            <v>Material de limpieza</v>
          </cell>
          <cell r="C16" t="str">
            <v>S</v>
          </cell>
        </row>
        <row r="17">
          <cell r="A17">
            <v>217000</v>
          </cell>
          <cell r="B17" t="str">
            <v>Materiales y útiles de enseñanza</v>
          </cell>
          <cell r="C17" t="str">
            <v>N</v>
          </cell>
        </row>
        <row r="18">
          <cell r="A18">
            <v>217001</v>
          </cell>
          <cell r="B18" t="str">
            <v>Materiales y útiles de enseñanza</v>
          </cell>
          <cell r="C18" t="str">
            <v>S</v>
          </cell>
        </row>
        <row r="19">
          <cell r="A19">
            <v>218000</v>
          </cell>
          <cell r="B19" t="str">
            <v>Materiales para el registro e identificación de bienes y personas</v>
          </cell>
          <cell r="C19" t="str">
            <v>N</v>
          </cell>
        </row>
        <row r="20">
          <cell r="A20">
            <v>218001</v>
          </cell>
          <cell r="B20" t="str">
            <v>Materiales para el registro e identificación de bienes y personas</v>
          </cell>
          <cell r="C20" t="str">
            <v>S</v>
          </cell>
        </row>
        <row r="21">
          <cell r="A21">
            <v>218002</v>
          </cell>
          <cell r="B21" t="str">
            <v>Placas, Engomados, Calcomanías y Hologramas</v>
          </cell>
          <cell r="C21" t="str">
            <v>S</v>
          </cell>
        </row>
        <row r="22">
          <cell r="A22">
            <v>218003</v>
          </cell>
          <cell r="B22" t="str">
            <v>Emisión de Licencias de Conducir</v>
          </cell>
          <cell r="C22" t="str">
            <v>S</v>
          </cell>
        </row>
        <row r="23">
          <cell r="A23">
            <v>218004</v>
          </cell>
          <cell r="B23" t="str">
            <v>Emisión de Formatos Únicos de Control Vehicular</v>
          </cell>
          <cell r="C23" t="str">
            <v>S</v>
          </cell>
        </row>
        <row r="24">
          <cell r="A24">
            <v>220000</v>
          </cell>
          <cell r="B24" t="str">
            <v>ALIMENTOS Y UTENSILIOS</v>
          </cell>
          <cell r="C24" t="str">
            <v>N</v>
          </cell>
        </row>
        <row r="25">
          <cell r="A25">
            <v>221000</v>
          </cell>
          <cell r="B25" t="str">
            <v>Productos alimenticios para personas</v>
          </cell>
          <cell r="C25" t="str">
            <v>N</v>
          </cell>
        </row>
        <row r="26">
          <cell r="A26">
            <v>221001</v>
          </cell>
          <cell r="B26" t="str">
            <v>Alimentación de personas</v>
          </cell>
          <cell r="C26" t="str">
            <v>S</v>
          </cell>
        </row>
        <row r="27">
          <cell r="A27">
            <v>222000</v>
          </cell>
          <cell r="B27" t="str">
            <v>Productos alimenticios para animales</v>
          </cell>
          <cell r="C27" t="str">
            <v>N</v>
          </cell>
        </row>
        <row r="28">
          <cell r="A28">
            <v>222001</v>
          </cell>
          <cell r="B28" t="str">
            <v>Alimentación de animales</v>
          </cell>
          <cell r="C28" t="str">
            <v>S</v>
          </cell>
        </row>
        <row r="29">
          <cell r="A29">
            <v>223000</v>
          </cell>
          <cell r="B29" t="str">
            <v>Utensilios para el servicio de alimentación</v>
          </cell>
          <cell r="C29" t="str">
            <v>N</v>
          </cell>
        </row>
        <row r="30">
          <cell r="A30">
            <v>223001</v>
          </cell>
          <cell r="B30" t="str">
            <v>Utensilios para el servicio de alimentación</v>
          </cell>
          <cell r="C30" t="str">
            <v>S</v>
          </cell>
        </row>
        <row r="31">
          <cell r="A31">
            <v>230000</v>
          </cell>
          <cell r="B31" t="str">
            <v>MATERIAS PRIMAS Y MATERIALES DE PRODUCCIÓN Y COMERCIALIZACIÓN</v>
          </cell>
          <cell r="C31" t="str">
            <v>N</v>
          </cell>
        </row>
        <row r="32">
          <cell r="A32">
            <v>231000</v>
          </cell>
          <cell r="B32" t="str">
            <v>Productos alimenticios, agropecuarios y forestales adquiridos como materia prima</v>
          </cell>
          <cell r="C32" t="str">
            <v>N</v>
          </cell>
        </row>
        <row r="33">
          <cell r="A33">
            <v>231001</v>
          </cell>
          <cell r="B33" t="str">
            <v>Materias primas para producción</v>
          </cell>
          <cell r="C33" t="str">
            <v>S</v>
          </cell>
        </row>
        <row r="34">
          <cell r="A34">
            <v>232000</v>
          </cell>
          <cell r="B34" t="str">
            <v>Insumos textiles adquiridos como materia prima</v>
          </cell>
          <cell r="C34" t="str">
            <v>N</v>
          </cell>
        </row>
        <row r="35">
          <cell r="A35">
            <v>232001</v>
          </cell>
          <cell r="B35" t="str">
            <v>Insumos textiles adquiridos como materia prima</v>
          </cell>
          <cell r="C35" t="str">
            <v>S</v>
          </cell>
        </row>
        <row r="36">
          <cell r="A36">
            <v>233000</v>
          </cell>
          <cell r="B36" t="str">
            <v>Productos de papel, cartón e impresos adquiridos como materia prima</v>
          </cell>
          <cell r="C36" t="str">
            <v>N</v>
          </cell>
        </row>
        <row r="37">
          <cell r="A37">
            <v>233001</v>
          </cell>
          <cell r="B37" t="str">
            <v>Productos de papel, cartón e impresos adquiridos como materia prima</v>
          </cell>
          <cell r="C37" t="str">
            <v>S</v>
          </cell>
        </row>
        <row r="38">
          <cell r="A38">
            <v>234000</v>
          </cell>
          <cell r="B38" t="str">
            <v>Combustibles, lubricantes, aditivos, carbón y sus derivados adquiridos como materia prima</v>
          </cell>
          <cell r="C38" t="str">
            <v>N</v>
          </cell>
        </row>
        <row r="39">
          <cell r="A39">
            <v>234001</v>
          </cell>
          <cell r="B39" t="str">
            <v>Combustibles, lubricantes, aditivos, carbón y sus derivados adquiridos como materia prima</v>
          </cell>
          <cell r="C39" t="str">
            <v>S</v>
          </cell>
        </row>
        <row r="40">
          <cell r="A40">
            <v>235000</v>
          </cell>
          <cell r="B40" t="str">
            <v>Productos químicos, farmacéuticos y de laboratorio adquiridos como materia prima</v>
          </cell>
          <cell r="C40" t="str">
            <v>N</v>
          </cell>
        </row>
        <row r="41">
          <cell r="A41">
            <v>235001</v>
          </cell>
          <cell r="B41" t="str">
            <v>Productos químicos, farmacéuticos y de laboratorio adquiridos como materia prima</v>
          </cell>
          <cell r="C41" t="str">
            <v>S</v>
          </cell>
        </row>
        <row r="42">
          <cell r="A42">
            <v>236000</v>
          </cell>
          <cell r="B42" t="str">
            <v>Productos metálicos y a base de minerales no metálicos adquiridos como materia prima</v>
          </cell>
          <cell r="C42" t="str">
            <v>N</v>
          </cell>
        </row>
        <row r="43">
          <cell r="A43">
            <v>236001</v>
          </cell>
          <cell r="B43" t="str">
            <v>Productos metálicos y a base de minerales no metálicos adquiridos como materia prima</v>
          </cell>
          <cell r="C43" t="str">
            <v>S</v>
          </cell>
        </row>
        <row r="44">
          <cell r="A44">
            <v>237000</v>
          </cell>
          <cell r="B44" t="str">
            <v>Productos de cuero, piel, plástico y hule adquiridos como materia prima</v>
          </cell>
          <cell r="C44" t="str">
            <v>N</v>
          </cell>
        </row>
        <row r="45">
          <cell r="A45">
            <v>237001</v>
          </cell>
          <cell r="B45" t="str">
            <v>Productos de cuero, piel, plástico y hule adquiridos como materia prima</v>
          </cell>
          <cell r="C45" t="str">
            <v>S</v>
          </cell>
        </row>
        <row r="46">
          <cell r="A46">
            <v>238000</v>
          </cell>
          <cell r="B46" t="str">
            <v>Mercancías adquiridas para su comercialización</v>
          </cell>
          <cell r="C46" t="str">
            <v>N</v>
          </cell>
        </row>
        <row r="47">
          <cell r="A47">
            <v>238001</v>
          </cell>
          <cell r="B47" t="str">
            <v>Mercancías adquiridas para su comercialización</v>
          </cell>
          <cell r="C47" t="str">
            <v>S</v>
          </cell>
        </row>
        <row r="48">
          <cell r="A48">
            <v>240000</v>
          </cell>
          <cell r="B48" t="str">
            <v>MATERIALES Y ARTÍCULOS DE CONSTRUCCIÓN Y DE REPARACIÓN</v>
          </cell>
          <cell r="C48" t="str">
            <v>N</v>
          </cell>
        </row>
        <row r="49">
          <cell r="A49">
            <v>241000</v>
          </cell>
          <cell r="B49" t="str">
            <v>Productos minerales no metálicos</v>
          </cell>
          <cell r="C49" t="str">
            <v>N</v>
          </cell>
        </row>
        <row r="50">
          <cell r="A50">
            <v>241001</v>
          </cell>
          <cell r="B50" t="str">
            <v>Productos minerales no metálicos</v>
          </cell>
          <cell r="C50" t="str">
            <v>S</v>
          </cell>
        </row>
        <row r="51">
          <cell r="A51">
            <v>242000</v>
          </cell>
          <cell r="B51" t="str">
            <v>Cemento y productos de concreto</v>
          </cell>
          <cell r="C51" t="str">
            <v>N</v>
          </cell>
        </row>
        <row r="52">
          <cell r="A52">
            <v>242001</v>
          </cell>
          <cell r="B52" t="str">
            <v>Cemento y productos de concreto</v>
          </cell>
          <cell r="C52" t="str">
            <v>S</v>
          </cell>
        </row>
        <row r="53">
          <cell r="A53">
            <v>243000</v>
          </cell>
          <cell r="B53" t="str">
            <v>Cal, yeso y productos de yeso</v>
          </cell>
          <cell r="C53" t="str">
            <v>N</v>
          </cell>
        </row>
        <row r="54">
          <cell r="A54">
            <v>243001</v>
          </cell>
          <cell r="B54" t="str">
            <v>Cal, yeso y productos de yeso</v>
          </cell>
          <cell r="C54" t="str">
            <v>S</v>
          </cell>
        </row>
        <row r="55">
          <cell r="A55">
            <v>244000</v>
          </cell>
          <cell r="B55" t="str">
            <v>Madera y productos de madera</v>
          </cell>
          <cell r="C55" t="str">
            <v>N</v>
          </cell>
        </row>
        <row r="56">
          <cell r="A56">
            <v>244001</v>
          </cell>
          <cell r="B56" t="str">
            <v>Madera y productos de madera</v>
          </cell>
          <cell r="C56" t="str">
            <v>S</v>
          </cell>
        </row>
        <row r="57">
          <cell r="A57">
            <v>245000</v>
          </cell>
          <cell r="B57" t="str">
            <v>Vidrio y productos de vidrio</v>
          </cell>
          <cell r="C57" t="str">
            <v>N</v>
          </cell>
        </row>
        <row r="58">
          <cell r="A58">
            <v>245001</v>
          </cell>
          <cell r="B58" t="str">
            <v>Vidrio y productos de vidrio</v>
          </cell>
          <cell r="C58" t="str">
            <v>S</v>
          </cell>
        </row>
        <row r="59">
          <cell r="A59">
            <v>246000</v>
          </cell>
          <cell r="B59" t="str">
            <v>Material eléctrico y electrónico</v>
          </cell>
          <cell r="C59" t="str">
            <v>N</v>
          </cell>
        </row>
        <row r="60">
          <cell r="A60">
            <v>246001</v>
          </cell>
          <cell r="B60" t="str">
            <v>Material eléctrico</v>
          </cell>
          <cell r="C60" t="str">
            <v>S</v>
          </cell>
        </row>
        <row r="61">
          <cell r="A61">
            <v>246002</v>
          </cell>
          <cell r="B61" t="str">
            <v>Material electrónico</v>
          </cell>
          <cell r="C61" t="str">
            <v>S</v>
          </cell>
        </row>
        <row r="62">
          <cell r="A62">
            <v>247000</v>
          </cell>
          <cell r="B62" t="str">
            <v>Artículos metálicos para la construcción</v>
          </cell>
          <cell r="C62" t="str">
            <v>N</v>
          </cell>
        </row>
        <row r="63">
          <cell r="A63">
            <v>247001</v>
          </cell>
          <cell r="B63" t="str">
            <v>Artículos metálicos para la construcción</v>
          </cell>
          <cell r="C63" t="str">
            <v>S</v>
          </cell>
        </row>
        <row r="64">
          <cell r="A64">
            <v>248000</v>
          </cell>
          <cell r="B64" t="str">
            <v>Materiales complementarios</v>
          </cell>
          <cell r="C64" t="str">
            <v>N</v>
          </cell>
        </row>
        <row r="65">
          <cell r="A65">
            <v>248001</v>
          </cell>
          <cell r="B65" t="str">
            <v>Materiales complementarios</v>
          </cell>
          <cell r="C65" t="str">
            <v>S</v>
          </cell>
        </row>
        <row r="66">
          <cell r="A66">
            <v>249000</v>
          </cell>
          <cell r="B66" t="str">
            <v>Otros materiales y artículos de construcción y reparación</v>
          </cell>
          <cell r="C66" t="str">
            <v>N</v>
          </cell>
        </row>
        <row r="67">
          <cell r="A67">
            <v>249001</v>
          </cell>
          <cell r="B67" t="str">
            <v>Materiales de construcción y complementarios</v>
          </cell>
          <cell r="C67" t="str">
            <v>S</v>
          </cell>
        </row>
        <row r="68">
          <cell r="A68">
            <v>249002</v>
          </cell>
          <cell r="B68" t="str">
            <v>Otros materiales de construcción y reparación</v>
          </cell>
          <cell r="C68" t="str">
            <v>S</v>
          </cell>
        </row>
        <row r="69">
          <cell r="A69">
            <v>250000</v>
          </cell>
          <cell r="B69" t="str">
            <v>PRODUCTOS QUÍMICOS, FARMACÉUTICOS Y DE LABORATORIO</v>
          </cell>
          <cell r="C69" t="str">
            <v>N</v>
          </cell>
        </row>
        <row r="70">
          <cell r="A70">
            <v>251000</v>
          </cell>
          <cell r="B70" t="str">
            <v>Productos químicos básicos</v>
          </cell>
          <cell r="C70" t="str">
            <v>N</v>
          </cell>
        </row>
        <row r="71">
          <cell r="A71">
            <v>251001</v>
          </cell>
          <cell r="B71" t="str">
            <v>Gas Refrigerante</v>
          </cell>
          <cell r="C71" t="str">
            <v>S</v>
          </cell>
        </row>
        <row r="72">
          <cell r="A72">
            <v>252000</v>
          </cell>
          <cell r="B72" t="str">
            <v>Fertilizantes, pesticidas y otros agroquímicos</v>
          </cell>
          <cell r="C72" t="str">
            <v>N</v>
          </cell>
        </row>
        <row r="73">
          <cell r="A73">
            <v>252001</v>
          </cell>
          <cell r="B73" t="str">
            <v>Fertilizantes, pesticidas y otros agroquímicos</v>
          </cell>
          <cell r="C73" t="str">
            <v>S</v>
          </cell>
        </row>
        <row r="74">
          <cell r="A74">
            <v>253000</v>
          </cell>
          <cell r="B74" t="str">
            <v>Medicinas y productos químicos, farmacéuticos</v>
          </cell>
          <cell r="C74" t="str">
            <v>N</v>
          </cell>
        </row>
        <row r="75">
          <cell r="A75">
            <v>253001</v>
          </cell>
          <cell r="B75" t="str">
            <v>Material y productos químicos, farmacéuticos</v>
          </cell>
          <cell r="C75" t="str">
            <v>S</v>
          </cell>
        </row>
        <row r="76">
          <cell r="A76">
            <v>254000</v>
          </cell>
          <cell r="B76" t="str">
            <v>Materiales, accesorios y suministros médicos</v>
          </cell>
          <cell r="C76" t="str">
            <v>N</v>
          </cell>
        </row>
        <row r="77">
          <cell r="A77">
            <v>254001</v>
          </cell>
          <cell r="B77" t="str">
            <v>Materiales, accesorios y suministros médicos</v>
          </cell>
          <cell r="C77" t="str">
            <v>S</v>
          </cell>
        </row>
        <row r="78">
          <cell r="A78">
            <v>255000</v>
          </cell>
          <cell r="B78" t="str">
            <v>Materiales, accesorios y suministros de laboratorio</v>
          </cell>
          <cell r="C78" t="str">
            <v>N</v>
          </cell>
        </row>
        <row r="79">
          <cell r="A79">
            <v>255001</v>
          </cell>
          <cell r="B79" t="str">
            <v>Materiales, accesorios y suministros de laboratorio</v>
          </cell>
          <cell r="C79" t="str">
            <v>S</v>
          </cell>
        </row>
        <row r="80">
          <cell r="A80">
            <v>256000</v>
          </cell>
          <cell r="B80" t="str">
            <v>Fibras sintéticas, hules, plásticos y derivados</v>
          </cell>
          <cell r="C80" t="str">
            <v>N</v>
          </cell>
        </row>
        <row r="81">
          <cell r="A81">
            <v>256001</v>
          </cell>
          <cell r="B81" t="str">
            <v>Fibras sintéticas, hules, plásticos y derivados</v>
          </cell>
          <cell r="C81" t="str">
            <v>S</v>
          </cell>
        </row>
        <row r="82">
          <cell r="A82">
            <v>259000</v>
          </cell>
          <cell r="B82" t="str">
            <v>Otros productos químicos</v>
          </cell>
          <cell r="C82" t="str">
            <v>N</v>
          </cell>
        </row>
        <row r="83">
          <cell r="A83">
            <v>259001</v>
          </cell>
          <cell r="B83" t="str">
            <v>Otros productos químicos</v>
          </cell>
          <cell r="C83" t="str">
            <v>S</v>
          </cell>
        </row>
        <row r="84">
          <cell r="A84">
            <v>260000</v>
          </cell>
          <cell r="B84" t="str">
            <v>COMBUSTIBLES, LUBRICANTES Y ADITIVOS</v>
          </cell>
          <cell r="C84" t="str">
            <v>N</v>
          </cell>
        </row>
        <row r="85">
          <cell r="A85">
            <v>261000</v>
          </cell>
          <cell r="B85" t="str">
            <v>Combustibles, lubricantes y aditivos</v>
          </cell>
          <cell r="C85" t="str">
            <v>N</v>
          </cell>
        </row>
        <row r="86">
          <cell r="A86">
            <v>261001</v>
          </cell>
          <cell r="B86" t="str">
            <v>Combustibles</v>
          </cell>
          <cell r="C86" t="str">
            <v>S</v>
          </cell>
        </row>
        <row r="87">
          <cell r="A87">
            <v>261002</v>
          </cell>
          <cell r="B87" t="str">
            <v>Lubricantes y aditivos</v>
          </cell>
          <cell r="C87" t="str">
            <v>S</v>
          </cell>
        </row>
        <row r="88">
          <cell r="A88">
            <v>262000</v>
          </cell>
          <cell r="B88" t="str">
            <v>Carbón y sus derivados</v>
          </cell>
          <cell r="C88" t="str">
            <v>N</v>
          </cell>
        </row>
        <row r="89">
          <cell r="A89">
            <v>262001</v>
          </cell>
          <cell r="B89" t="str">
            <v>Carbón y sus derivados</v>
          </cell>
          <cell r="C89" t="str">
            <v>S</v>
          </cell>
        </row>
        <row r="90">
          <cell r="A90">
            <v>270000</v>
          </cell>
          <cell r="B90" t="str">
            <v>VESTUARIO, BLANCOS, PRENDAS DE PROTECCIÓN Y ARTÍCULOS DEPORTIVOS</v>
          </cell>
          <cell r="C90" t="str">
            <v>N</v>
          </cell>
        </row>
        <row r="91">
          <cell r="A91">
            <v>271000</v>
          </cell>
          <cell r="B91" t="str">
            <v>Vestuario y uniformes</v>
          </cell>
          <cell r="C91" t="str">
            <v>N</v>
          </cell>
        </row>
        <row r="92">
          <cell r="A92">
            <v>271001</v>
          </cell>
          <cell r="B92" t="str">
            <v>Ropa, vestuario y equipo</v>
          </cell>
          <cell r="C92" t="str">
            <v>S</v>
          </cell>
        </row>
        <row r="93">
          <cell r="A93">
            <v>272000</v>
          </cell>
          <cell r="B93" t="str">
            <v>Prendas de seguridad y protección personal</v>
          </cell>
          <cell r="C93" t="str">
            <v>N</v>
          </cell>
        </row>
        <row r="94">
          <cell r="A94">
            <v>272001</v>
          </cell>
          <cell r="B94" t="str">
            <v>Materiales explosivos y de seguridad pública</v>
          </cell>
          <cell r="C94" t="str">
            <v>S</v>
          </cell>
        </row>
        <row r="95">
          <cell r="A95">
            <v>272002</v>
          </cell>
          <cell r="B95" t="str">
            <v>Prendas de seguridad y protección personal</v>
          </cell>
          <cell r="C95" t="str">
            <v>S</v>
          </cell>
        </row>
        <row r="96">
          <cell r="A96">
            <v>273000</v>
          </cell>
          <cell r="B96" t="str">
            <v>Artículos deportivos</v>
          </cell>
          <cell r="C96" t="str">
            <v>N</v>
          </cell>
        </row>
        <row r="97">
          <cell r="A97">
            <v>273001</v>
          </cell>
          <cell r="B97" t="str">
            <v>Artículos deportivos</v>
          </cell>
          <cell r="C97" t="str">
            <v>S</v>
          </cell>
        </row>
        <row r="98">
          <cell r="A98">
            <v>274000</v>
          </cell>
          <cell r="B98" t="str">
            <v>Productos textiles</v>
          </cell>
          <cell r="C98" t="str">
            <v>N</v>
          </cell>
        </row>
        <row r="99">
          <cell r="A99">
            <v>274001</v>
          </cell>
          <cell r="B99" t="str">
            <v>Productos textiles</v>
          </cell>
          <cell r="C99" t="str">
            <v>S</v>
          </cell>
        </row>
        <row r="100">
          <cell r="A100">
            <v>275000</v>
          </cell>
          <cell r="B100" t="str">
            <v>Blancos y otros productos textiles, excepto prendas de vestir</v>
          </cell>
          <cell r="C100" t="str">
            <v>N</v>
          </cell>
        </row>
        <row r="101">
          <cell r="A101">
            <v>275001</v>
          </cell>
          <cell r="B101" t="str">
            <v>Blancos y otros productos textiles, excepto prendas de vestir</v>
          </cell>
          <cell r="C101" t="str">
            <v>S</v>
          </cell>
        </row>
        <row r="102">
          <cell r="A102">
            <v>280000</v>
          </cell>
          <cell r="B102" t="str">
            <v>MATERIALES Y SUMINISTROS PARA SEGURIDAD</v>
          </cell>
          <cell r="C102" t="str">
            <v>N</v>
          </cell>
        </row>
        <row r="103">
          <cell r="A103">
            <v>281000</v>
          </cell>
          <cell r="B103" t="str">
            <v>Sustancias y materiales explosivos</v>
          </cell>
          <cell r="C103" t="str">
            <v>N</v>
          </cell>
        </row>
        <row r="104">
          <cell r="A104">
            <v>281001</v>
          </cell>
          <cell r="B104" t="str">
            <v>Sustancias y materiales explosivos</v>
          </cell>
          <cell r="C104" t="str">
            <v>S</v>
          </cell>
        </row>
        <row r="105">
          <cell r="A105">
            <v>282000</v>
          </cell>
          <cell r="B105" t="str">
            <v>Materiales de seguridad pública</v>
          </cell>
          <cell r="C105" t="str">
            <v>N</v>
          </cell>
        </row>
        <row r="106">
          <cell r="A106">
            <v>282001</v>
          </cell>
          <cell r="B106" t="str">
            <v>Materiales de seguridad pública</v>
          </cell>
          <cell r="C106" t="str">
            <v>S</v>
          </cell>
        </row>
        <row r="107">
          <cell r="A107">
            <v>283000</v>
          </cell>
          <cell r="B107" t="str">
            <v>Prendas de protección para seguridad pública y nacional</v>
          </cell>
          <cell r="C107" t="str">
            <v>N</v>
          </cell>
        </row>
        <row r="108">
          <cell r="A108">
            <v>283001</v>
          </cell>
          <cell r="B108" t="str">
            <v>Prendas de protección para seguridad pública</v>
          </cell>
          <cell r="C108" t="str">
            <v>S</v>
          </cell>
        </row>
        <row r="109">
          <cell r="A109">
            <v>290000</v>
          </cell>
          <cell r="B109" t="str">
            <v>HERRAMIENTAS, REFACCIONES Y ACCESORIOS MENORES</v>
          </cell>
          <cell r="C109" t="str">
            <v>N</v>
          </cell>
        </row>
        <row r="110">
          <cell r="A110">
            <v>291000</v>
          </cell>
          <cell r="B110" t="str">
            <v>Herramientas menores</v>
          </cell>
          <cell r="C110" t="str">
            <v>N</v>
          </cell>
        </row>
        <row r="111">
          <cell r="A111">
            <v>291001</v>
          </cell>
          <cell r="B111" t="str">
            <v>Herramientas Auxiliares de Trabajo</v>
          </cell>
          <cell r="C111" t="str">
            <v>S</v>
          </cell>
        </row>
        <row r="112">
          <cell r="A112">
            <v>292000</v>
          </cell>
          <cell r="B112" t="str">
            <v>Refacciones y accesorios menores de edificios</v>
          </cell>
          <cell r="C112" t="str">
            <v>N</v>
          </cell>
        </row>
        <row r="113">
          <cell r="A113">
            <v>292001</v>
          </cell>
          <cell r="B113" t="str">
            <v>Refacciones y accesorios menores de edificios (candados, cerraduras, chapas, llaves)</v>
          </cell>
          <cell r="C113" t="str">
            <v>S</v>
          </cell>
        </row>
        <row r="114">
          <cell r="A114">
            <v>293000</v>
          </cell>
          <cell r="B114" t="str">
            <v>Refacciones y accesorios menores de mobiliario y equipo de administración, educacional y recreativo</v>
          </cell>
          <cell r="C114" t="str">
            <v>N</v>
          </cell>
        </row>
        <row r="115">
          <cell r="A115">
            <v>293001</v>
          </cell>
          <cell r="B115" t="str">
            <v>Refacciones y accesorios menores de mobiliario y equipo de administración, educacional y recreativo</v>
          </cell>
          <cell r="C115" t="str">
            <v>S</v>
          </cell>
        </row>
        <row r="116">
          <cell r="A116">
            <v>294000</v>
          </cell>
          <cell r="B116" t="str">
            <v>Refacciones y accesorios menores de equipo de cómputo y tecnologías de la información</v>
          </cell>
          <cell r="C116" t="str">
            <v>N</v>
          </cell>
        </row>
        <row r="117">
          <cell r="A117">
            <v>294001</v>
          </cell>
          <cell r="B117" t="str">
            <v>Dispositivos Internos y Externos de Equipo de Computo</v>
          </cell>
          <cell r="C117" t="str">
            <v>S</v>
          </cell>
        </row>
        <row r="118">
          <cell r="A118">
            <v>294002</v>
          </cell>
          <cell r="B118" t="str">
            <v>Refacciones y Accesorios Menores de Equipo de Computo</v>
          </cell>
          <cell r="C118" t="str">
            <v>S</v>
          </cell>
        </row>
        <row r="119">
          <cell r="A119">
            <v>295000</v>
          </cell>
          <cell r="B119" t="str">
            <v>Refacciones y accesorios menores de equipo e instrumental médico y de laboratorio</v>
          </cell>
          <cell r="C119" t="str">
            <v>N</v>
          </cell>
        </row>
        <row r="120">
          <cell r="A120">
            <v>295001</v>
          </cell>
          <cell r="B120" t="str">
            <v>Refacciones y accesorios menores de equipo e instrumental médico y de laboratorio</v>
          </cell>
          <cell r="C120" t="str">
            <v>S</v>
          </cell>
        </row>
        <row r="121">
          <cell r="A121">
            <v>296000</v>
          </cell>
          <cell r="B121" t="str">
            <v>Refacciones y accesorios menores de equipo de transporte</v>
          </cell>
          <cell r="C121" t="str">
            <v>N</v>
          </cell>
        </row>
        <row r="122">
          <cell r="A122">
            <v>296001</v>
          </cell>
          <cell r="B122" t="str">
            <v>Herramientas, refacciones y accesorios</v>
          </cell>
          <cell r="C122" t="str">
            <v>S</v>
          </cell>
        </row>
        <row r="123">
          <cell r="A123">
            <v>297000</v>
          </cell>
          <cell r="B123" t="str">
            <v>Refacciones y accesorios menores de equipo de defensa y seguridad</v>
          </cell>
          <cell r="C123" t="str">
            <v>N</v>
          </cell>
        </row>
        <row r="124">
          <cell r="A124">
            <v>297001</v>
          </cell>
          <cell r="B124" t="str">
            <v>Refacciones y accesorios menores de equipo de defensa y seguridad</v>
          </cell>
          <cell r="C124" t="str">
            <v>S</v>
          </cell>
        </row>
        <row r="125">
          <cell r="A125">
            <v>298000</v>
          </cell>
          <cell r="B125" t="str">
            <v>Refacciones y accesorios menores de maquinaria y otros equipos</v>
          </cell>
          <cell r="C125" t="str">
            <v>N</v>
          </cell>
        </row>
        <row r="126">
          <cell r="A126">
            <v>298001</v>
          </cell>
          <cell r="B126" t="str">
            <v>Refacciones y accesorios menores de maquinaria y otros equipos</v>
          </cell>
          <cell r="C126" t="str">
            <v>S</v>
          </cell>
        </row>
        <row r="127">
          <cell r="A127">
            <v>299000</v>
          </cell>
          <cell r="B127" t="str">
            <v>Refacciones y accesorios menores otros bienes muebles</v>
          </cell>
          <cell r="C127" t="str">
            <v>N</v>
          </cell>
        </row>
        <row r="128">
          <cell r="A128">
            <v>299001</v>
          </cell>
          <cell r="B128" t="str">
            <v>Refacciones y accesorios menores otros bienes muebles</v>
          </cell>
          <cell r="C128" t="str">
            <v>S</v>
          </cell>
        </row>
        <row r="129">
          <cell r="A129">
            <v>300000</v>
          </cell>
          <cell r="B129" t="str">
            <v>SERVICIOS GENERALES</v>
          </cell>
          <cell r="C129" t="str">
            <v>N</v>
          </cell>
        </row>
        <row r="130">
          <cell r="A130">
            <v>310000</v>
          </cell>
          <cell r="B130" t="str">
            <v>SERVICIOS BÁSICOS</v>
          </cell>
          <cell r="C130" t="str">
            <v>N</v>
          </cell>
        </row>
        <row r="131">
          <cell r="A131">
            <v>311000</v>
          </cell>
          <cell r="B131" t="str">
            <v>Energía eléctrica</v>
          </cell>
          <cell r="C131" t="str">
            <v>N</v>
          </cell>
        </row>
        <row r="132">
          <cell r="A132">
            <v>311001</v>
          </cell>
          <cell r="B132" t="str">
            <v>Servicio de energía eléctrica</v>
          </cell>
          <cell r="C132" t="str">
            <v>S</v>
          </cell>
        </row>
        <row r="133">
          <cell r="A133">
            <v>311002</v>
          </cell>
          <cell r="B133" t="str">
            <v>Contratación del servicio de energía eléctrica</v>
          </cell>
          <cell r="C133" t="str">
            <v>S</v>
          </cell>
        </row>
        <row r="134">
          <cell r="A134">
            <v>312000</v>
          </cell>
          <cell r="B134" t="str">
            <v>Gas</v>
          </cell>
          <cell r="C134" t="str">
            <v>N</v>
          </cell>
        </row>
        <row r="135">
          <cell r="A135">
            <v>312001</v>
          </cell>
          <cell r="B135" t="str">
            <v>Servicio de Gas L.P.</v>
          </cell>
          <cell r="C135" t="str">
            <v>S</v>
          </cell>
        </row>
        <row r="136">
          <cell r="A136">
            <v>313000</v>
          </cell>
          <cell r="B136" t="str">
            <v>Agua</v>
          </cell>
          <cell r="C136" t="str">
            <v>N</v>
          </cell>
        </row>
        <row r="137">
          <cell r="A137">
            <v>313001</v>
          </cell>
          <cell r="B137" t="str">
            <v>Servicio de agua potable</v>
          </cell>
          <cell r="C137" t="str">
            <v>S</v>
          </cell>
        </row>
        <row r="138">
          <cell r="A138">
            <v>313002</v>
          </cell>
          <cell r="B138" t="str">
            <v>Contratación del servicio de agua potable</v>
          </cell>
          <cell r="C138" t="str">
            <v>S</v>
          </cell>
        </row>
        <row r="139">
          <cell r="A139">
            <v>314000</v>
          </cell>
          <cell r="B139" t="str">
            <v>Telefonía tradicional</v>
          </cell>
          <cell r="C139" t="str">
            <v>N</v>
          </cell>
        </row>
        <row r="140">
          <cell r="A140">
            <v>314001</v>
          </cell>
          <cell r="B140" t="str">
            <v>Servicio telefónico</v>
          </cell>
          <cell r="C140" t="str">
            <v>S</v>
          </cell>
        </row>
        <row r="141">
          <cell r="A141">
            <v>315000</v>
          </cell>
          <cell r="B141" t="str">
            <v>Telefonía celular</v>
          </cell>
          <cell r="C141" t="str">
            <v>N</v>
          </cell>
        </row>
        <row r="142">
          <cell r="A142">
            <v>315001</v>
          </cell>
          <cell r="B142" t="str">
            <v>Telefonía celular</v>
          </cell>
          <cell r="C142" t="str">
            <v>S</v>
          </cell>
        </row>
        <row r="143">
          <cell r="A143">
            <v>316000</v>
          </cell>
          <cell r="B143" t="str">
            <v>Servicios de telecomunicaciones y satélites</v>
          </cell>
          <cell r="C143" t="str">
            <v>N</v>
          </cell>
        </row>
        <row r="144">
          <cell r="A144">
            <v>316001</v>
          </cell>
          <cell r="B144" t="str">
            <v>Servicios de telecomunicaciones y satélites</v>
          </cell>
          <cell r="C144" t="str">
            <v>S</v>
          </cell>
        </row>
        <row r="145">
          <cell r="A145">
            <v>317000</v>
          </cell>
          <cell r="B145" t="str">
            <v>Servicios de acceso de Internet, redes y procesamiento de información</v>
          </cell>
          <cell r="C145" t="str">
            <v>N</v>
          </cell>
        </row>
        <row r="146">
          <cell r="A146">
            <v>317001</v>
          </cell>
          <cell r="B146" t="str">
            <v>Servicios de acceso de Internet, redes y procesamiento de información</v>
          </cell>
          <cell r="C146" t="str">
            <v>S</v>
          </cell>
        </row>
        <row r="147">
          <cell r="A147">
            <v>318000</v>
          </cell>
          <cell r="B147" t="str">
            <v>Servicios postales y telegráficos</v>
          </cell>
          <cell r="C147" t="str">
            <v>N</v>
          </cell>
        </row>
        <row r="148">
          <cell r="A148">
            <v>318001</v>
          </cell>
          <cell r="B148" t="str">
            <v>Servicio postal y telegráfico</v>
          </cell>
          <cell r="C148" t="str">
            <v>S</v>
          </cell>
        </row>
        <row r="149">
          <cell r="A149">
            <v>319000</v>
          </cell>
          <cell r="B149" t="str">
            <v>Servicios integrales y otros servicios</v>
          </cell>
          <cell r="C149" t="str">
            <v>N</v>
          </cell>
        </row>
        <row r="150">
          <cell r="A150">
            <v>319001</v>
          </cell>
          <cell r="B150" t="str">
            <v>Servicios Integrales</v>
          </cell>
          <cell r="C150" t="str">
            <v>S</v>
          </cell>
        </row>
        <row r="151">
          <cell r="A151">
            <v>320000</v>
          </cell>
          <cell r="B151" t="str">
            <v>SERVICIOS DE ARRENDAMIENTO</v>
          </cell>
          <cell r="C151" t="str">
            <v>N</v>
          </cell>
        </row>
        <row r="152">
          <cell r="A152">
            <v>321000</v>
          </cell>
          <cell r="B152" t="str">
            <v>Arrendamiento de terrenos</v>
          </cell>
          <cell r="C152" t="str">
            <v>N</v>
          </cell>
        </row>
        <row r="153">
          <cell r="A153">
            <v>321001</v>
          </cell>
          <cell r="B153" t="str">
            <v>Arrendamiento de terrenos</v>
          </cell>
          <cell r="C153" t="str">
            <v>S</v>
          </cell>
        </row>
        <row r="154">
          <cell r="A154">
            <v>322000</v>
          </cell>
          <cell r="B154" t="str">
            <v>Arrendamiento de edificios</v>
          </cell>
          <cell r="C154" t="str">
            <v>N</v>
          </cell>
        </row>
        <row r="155">
          <cell r="A155">
            <v>322001</v>
          </cell>
          <cell r="B155" t="str">
            <v>Arrendamiento de edificios</v>
          </cell>
          <cell r="C155" t="str">
            <v>S</v>
          </cell>
        </row>
        <row r="156">
          <cell r="A156">
            <v>323000</v>
          </cell>
          <cell r="B156" t="str">
            <v>Arrendamiento de mobiliario y equipo de administración, educacional y recreativo</v>
          </cell>
          <cell r="C156" t="str">
            <v>N</v>
          </cell>
        </row>
        <row r="157">
          <cell r="A157">
            <v>323001</v>
          </cell>
          <cell r="B157" t="str">
            <v>Arrendamiento de maquinaria y equipo</v>
          </cell>
          <cell r="C157" t="str">
            <v>S</v>
          </cell>
        </row>
        <row r="158">
          <cell r="A158">
            <v>323002</v>
          </cell>
          <cell r="B158" t="str">
            <v>Arrendamiento de maquinaria y equipo de Administración</v>
          </cell>
          <cell r="C158" t="str">
            <v>S</v>
          </cell>
        </row>
        <row r="159">
          <cell r="A159">
            <v>323003</v>
          </cell>
          <cell r="B159" t="str">
            <v>Arrendamiento de Equipo Educacional y Recreativo</v>
          </cell>
          <cell r="C159" t="str">
            <v>S</v>
          </cell>
        </row>
        <row r="160">
          <cell r="A160">
            <v>323004</v>
          </cell>
          <cell r="B160" t="str">
            <v>Arrendamiento de Mobiliario y Equipo</v>
          </cell>
          <cell r="C160" t="str">
            <v>S</v>
          </cell>
        </row>
        <row r="161">
          <cell r="A161">
            <v>324000</v>
          </cell>
          <cell r="B161" t="str">
            <v>Arrendamiento de equipo e instrumental médico y de laboratorio</v>
          </cell>
          <cell r="C161" t="str">
            <v>N</v>
          </cell>
        </row>
        <row r="162">
          <cell r="A162">
            <v>324001</v>
          </cell>
          <cell r="B162" t="str">
            <v>Arrendamiento de equipo e instrumental médico y de laboratorio</v>
          </cell>
          <cell r="C162" t="str">
            <v>S</v>
          </cell>
        </row>
        <row r="163">
          <cell r="A163">
            <v>325000</v>
          </cell>
          <cell r="B163" t="str">
            <v>Arrendamiento de equipo de transporte</v>
          </cell>
          <cell r="C163" t="str">
            <v>N</v>
          </cell>
        </row>
        <row r="164">
          <cell r="A164">
            <v>325001</v>
          </cell>
          <cell r="B164" t="str">
            <v>Arrendamiento de equipo de transporte</v>
          </cell>
          <cell r="C164" t="str">
            <v>S</v>
          </cell>
        </row>
        <row r="165">
          <cell r="A165">
            <v>326000</v>
          </cell>
          <cell r="B165" t="str">
            <v>Arrendamiento de maquinaria, otros equipos y herramientas</v>
          </cell>
          <cell r="C165" t="str">
            <v>N</v>
          </cell>
        </row>
        <row r="166">
          <cell r="A166">
            <v>326001</v>
          </cell>
          <cell r="B166" t="str">
            <v>Arrendamiento de maquinaria, otros equipos y herramientas</v>
          </cell>
          <cell r="C166" t="str">
            <v>S</v>
          </cell>
        </row>
        <row r="167">
          <cell r="A167">
            <v>327000</v>
          </cell>
          <cell r="B167" t="str">
            <v>Arrendamiento de activos intangibles</v>
          </cell>
          <cell r="C167" t="str">
            <v>N</v>
          </cell>
        </row>
        <row r="168">
          <cell r="A168">
            <v>327001</v>
          </cell>
          <cell r="B168" t="str">
            <v>Arrendamiento de activos intangibles</v>
          </cell>
          <cell r="C168" t="str">
            <v>S</v>
          </cell>
        </row>
        <row r="169">
          <cell r="A169">
            <v>328000</v>
          </cell>
          <cell r="B169" t="str">
            <v>Arrendamiento financiero</v>
          </cell>
          <cell r="C169" t="str">
            <v>N</v>
          </cell>
        </row>
        <row r="170">
          <cell r="A170">
            <v>328001</v>
          </cell>
          <cell r="B170" t="str">
            <v>Arrendamiento financiero</v>
          </cell>
          <cell r="C170" t="str">
            <v>S</v>
          </cell>
        </row>
        <row r="171">
          <cell r="A171">
            <v>328002</v>
          </cell>
          <cell r="B171" t="str">
            <v>Programa Estatal de Arrendamiento Vehicular</v>
          </cell>
          <cell r="C171" t="str">
            <v>S</v>
          </cell>
        </row>
        <row r="172">
          <cell r="A172">
            <v>329000</v>
          </cell>
          <cell r="B172" t="str">
            <v>Otros arrendamientos</v>
          </cell>
          <cell r="C172" t="str">
            <v>N</v>
          </cell>
        </row>
        <row r="173">
          <cell r="A173">
            <v>329001</v>
          </cell>
          <cell r="B173" t="str">
            <v>Arrendamientos especiales</v>
          </cell>
          <cell r="C173" t="str">
            <v>S</v>
          </cell>
        </row>
        <row r="174">
          <cell r="A174">
            <v>330000</v>
          </cell>
          <cell r="B174" t="str">
            <v>SERVICIOS PROFESIONALES, CIENTÍFICOS, TÉCNICOS Y OTROS SERVICIOS</v>
          </cell>
          <cell r="C174" t="str">
            <v>N</v>
          </cell>
        </row>
        <row r="175">
          <cell r="A175">
            <v>331000</v>
          </cell>
          <cell r="B175" t="str">
            <v>Servicios legales, de contabilidad, auditoría y relacionados</v>
          </cell>
          <cell r="C175" t="str">
            <v>N</v>
          </cell>
        </row>
        <row r="176">
          <cell r="A176">
            <v>331001</v>
          </cell>
          <cell r="B176" t="str">
            <v>Asesorías</v>
          </cell>
          <cell r="C176" t="str">
            <v>S</v>
          </cell>
        </row>
        <row r="177">
          <cell r="A177">
            <v>331002</v>
          </cell>
          <cell r="B177" t="str">
            <v>Servicios Notariales</v>
          </cell>
          <cell r="C177" t="str">
            <v>S</v>
          </cell>
        </row>
        <row r="178">
          <cell r="A178">
            <v>331003</v>
          </cell>
          <cell r="B178" t="str">
            <v>Consultoría y Gestión</v>
          </cell>
          <cell r="C178" t="str">
            <v>S</v>
          </cell>
        </row>
        <row r="179">
          <cell r="A179">
            <v>332000</v>
          </cell>
          <cell r="B179" t="str">
            <v>Servicios de diseño, arquitectura, ingeniería y actividades relacionadas</v>
          </cell>
          <cell r="C179" t="str">
            <v>N</v>
          </cell>
        </row>
        <row r="180">
          <cell r="A180">
            <v>332001</v>
          </cell>
          <cell r="B180" t="str">
            <v>Servicios de diseño, arquitectura, ingeniería y actividades relacionadas</v>
          </cell>
          <cell r="C180" t="str">
            <v>S</v>
          </cell>
        </row>
        <row r="181">
          <cell r="A181">
            <v>333000</v>
          </cell>
          <cell r="B181" t="str">
            <v>Servicios de consultoría administrativa, procesos, técnica y en tecnologías de la información</v>
          </cell>
          <cell r="C181" t="str">
            <v>N</v>
          </cell>
        </row>
        <row r="182">
          <cell r="A182">
            <v>333001</v>
          </cell>
          <cell r="B182" t="str">
            <v>Estudios e investigaciones</v>
          </cell>
          <cell r="C182" t="str">
            <v>S</v>
          </cell>
        </row>
        <row r="183">
          <cell r="A183">
            <v>333002</v>
          </cell>
          <cell r="B183" t="str">
            <v>Sistematización de la Armonización Contable y Presupuestal</v>
          </cell>
          <cell r="C183" t="str">
            <v>S</v>
          </cell>
        </row>
        <row r="184">
          <cell r="A184">
            <v>333003</v>
          </cell>
          <cell r="B184" t="str">
            <v>Servicios de consultoría administrativa, procesos, técnica y en tecnologías de la información</v>
          </cell>
          <cell r="C184" t="str">
            <v>S</v>
          </cell>
        </row>
        <row r="185">
          <cell r="A185">
            <v>334000</v>
          </cell>
          <cell r="B185" t="str">
            <v>Servicios de capacitación</v>
          </cell>
          <cell r="C185" t="str">
            <v>N</v>
          </cell>
        </row>
        <row r="186">
          <cell r="A186">
            <v>334001</v>
          </cell>
          <cell r="B186" t="str">
            <v>Cuotas e inscripciones</v>
          </cell>
          <cell r="C186" t="str">
            <v>S</v>
          </cell>
        </row>
        <row r="187">
          <cell r="A187">
            <v>334002</v>
          </cell>
          <cell r="B187" t="str">
            <v>Servicios de Capacitación</v>
          </cell>
          <cell r="C187" t="str">
            <v>S</v>
          </cell>
        </row>
        <row r="188">
          <cell r="A188">
            <v>335000</v>
          </cell>
          <cell r="B188" t="str">
            <v>Servicios de investigación científica y desarrollo</v>
          </cell>
          <cell r="C188" t="str">
            <v>N</v>
          </cell>
        </row>
        <row r="189">
          <cell r="A189">
            <v>335001</v>
          </cell>
          <cell r="B189" t="str">
            <v>Servicios de investigación científica y desarrollo</v>
          </cell>
          <cell r="C189" t="str">
            <v>S</v>
          </cell>
        </row>
        <row r="190">
          <cell r="A190">
            <v>336000</v>
          </cell>
          <cell r="B190" t="str">
            <v>Servicios de apoyo administrativo, traducción, fotocopiado e impresión</v>
          </cell>
          <cell r="C190" t="str">
            <v>N</v>
          </cell>
        </row>
        <row r="191">
          <cell r="A191">
            <v>336001</v>
          </cell>
          <cell r="B191" t="str">
            <v>Servicio de Fotocopiado, Enmicado y Encuadernación de Documentos.</v>
          </cell>
          <cell r="C191" t="str">
            <v>S</v>
          </cell>
        </row>
        <row r="192">
          <cell r="A192">
            <v>336002</v>
          </cell>
          <cell r="B192" t="str">
            <v>Servicio de Impresión y Elaboración de Material Informativo</v>
          </cell>
          <cell r="C192" t="str">
            <v>S</v>
          </cell>
        </row>
        <row r="193">
          <cell r="A193">
            <v>337000</v>
          </cell>
          <cell r="B193" t="str">
            <v>Servicios de protección y seguridad</v>
          </cell>
          <cell r="C193" t="str">
            <v>N</v>
          </cell>
        </row>
        <row r="194">
          <cell r="A194">
            <v>337001</v>
          </cell>
          <cell r="B194" t="str">
            <v>Dispositivo de seguridad pública</v>
          </cell>
          <cell r="C194" t="str">
            <v>S</v>
          </cell>
        </row>
        <row r="195">
          <cell r="A195">
            <v>338000</v>
          </cell>
          <cell r="B195" t="str">
            <v>Servicios de vigilancia</v>
          </cell>
          <cell r="C195" t="str">
            <v>N</v>
          </cell>
        </row>
        <row r="196">
          <cell r="A196">
            <v>338001</v>
          </cell>
          <cell r="B196" t="str">
            <v>Servicio de seguridad privada</v>
          </cell>
          <cell r="C196" t="str">
            <v>S</v>
          </cell>
        </row>
        <row r="197">
          <cell r="A197">
            <v>339000</v>
          </cell>
          <cell r="B197" t="str">
            <v>Servicios profesionales, científicos y técnicos integrales</v>
          </cell>
          <cell r="C197" t="str">
            <v>N</v>
          </cell>
        </row>
        <row r="198">
          <cell r="A198">
            <v>339001</v>
          </cell>
          <cell r="B198" t="str">
            <v>Servicios profesionales, científicos y técnicos integrales</v>
          </cell>
          <cell r="C198" t="str">
            <v>S</v>
          </cell>
        </row>
        <row r="199">
          <cell r="A199">
            <v>340000</v>
          </cell>
          <cell r="B199" t="str">
            <v>SERVICIOS FINANCIEROS, BANCARIOS Y COMERCIALES</v>
          </cell>
          <cell r="C199" t="str">
            <v>N</v>
          </cell>
        </row>
        <row r="200">
          <cell r="A200">
            <v>341000</v>
          </cell>
          <cell r="B200" t="str">
            <v>Servicios financieros y bancarios</v>
          </cell>
          <cell r="C200" t="str">
            <v>N</v>
          </cell>
        </row>
        <row r="201">
          <cell r="A201">
            <v>341001</v>
          </cell>
          <cell r="B201" t="str">
            <v>Comisiones, descuentos y otros servicios bancarios</v>
          </cell>
          <cell r="C201" t="str">
            <v>S</v>
          </cell>
        </row>
        <row r="202">
          <cell r="A202">
            <v>342000</v>
          </cell>
          <cell r="B202" t="str">
            <v>Servicios de cobranza, investigación crediticia y similar</v>
          </cell>
          <cell r="C202" t="str">
            <v>N</v>
          </cell>
        </row>
        <row r="203">
          <cell r="A203">
            <v>342001</v>
          </cell>
          <cell r="B203" t="str">
            <v>Servicios de cobranza, investigación crediticia y similar</v>
          </cell>
          <cell r="C203" t="str">
            <v>S</v>
          </cell>
        </row>
        <row r="204">
          <cell r="A204">
            <v>343000</v>
          </cell>
          <cell r="B204" t="str">
            <v>Servicios de recaudación, traslado y custodia de valores</v>
          </cell>
          <cell r="C204" t="str">
            <v>N</v>
          </cell>
        </row>
        <row r="205">
          <cell r="A205">
            <v>343001</v>
          </cell>
          <cell r="B205" t="str">
            <v>Servicios de recaudación, traslado y custodia de valores</v>
          </cell>
          <cell r="C205" t="str">
            <v>S</v>
          </cell>
        </row>
        <row r="206">
          <cell r="A206">
            <v>344000</v>
          </cell>
          <cell r="B206" t="str">
            <v>Seguros de responsabilidad patrimonial y fianzas</v>
          </cell>
          <cell r="C206" t="str">
            <v>N</v>
          </cell>
        </row>
        <row r="207">
          <cell r="A207">
            <v>344001</v>
          </cell>
          <cell r="B207" t="str">
            <v>Seguros de responsabilidad patrimonial y fianzas</v>
          </cell>
          <cell r="C207" t="str">
            <v>S</v>
          </cell>
        </row>
        <row r="208">
          <cell r="A208">
            <v>345000</v>
          </cell>
          <cell r="B208" t="str">
            <v>Seguro de bienes patrimoniales</v>
          </cell>
          <cell r="C208" t="str">
            <v>N</v>
          </cell>
        </row>
        <row r="209">
          <cell r="A209">
            <v>345001</v>
          </cell>
          <cell r="B209" t="str">
            <v>Seguros</v>
          </cell>
          <cell r="C209" t="str">
            <v>S</v>
          </cell>
        </row>
        <row r="210">
          <cell r="A210">
            <v>346000</v>
          </cell>
          <cell r="B210" t="str">
            <v>Almacenaje, envase y embalaje</v>
          </cell>
          <cell r="C210" t="str">
            <v>N</v>
          </cell>
        </row>
        <row r="211">
          <cell r="A211">
            <v>346001</v>
          </cell>
          <cell r="B211" t="str">
            <v>Almacenaje, envase y embalaje</v>
          </cell>
          <cell r="C211" t="str">
            <v>S</v>
          </cell>
        </row>
        <row r="212">
          <cell r="A212">
            <v>347000</v>
          </cell>
          <cell r="B212" t="str">
            <v>Fletes y maniobras</v>
          </cell>
          <cell r="C212" t="str">
            <v>N</v>
          </cell>
        </row>
        <row r="213">
          <cell r="A213">
            <v>347001</v>
          </cell>
          <cell r="B213" t="str">
            <v>Fletes, maniobras y almacenaje</v>
          </cell>
          <cell r="C213" t="str">
            <v>S</v>
          </cell>
        </row>
        <row r="214">
          <cell r="A214">
            <v>348000</v>
          </cell>
          <cell r="B214" t="str">
            <v>Comisiones por ventas</v>
          </cell>
          <cell r="C214" t="str">
            <v>N</v>
          </cell>
        </row>
        <row r="215">
          <cell r="A215">
            <v>348001</v>
          </cell>
          <cell r="B215" t="str">
            <v>Comisiones por ventas</v>
          </cell>
          <cell r="C215" t="str">
            <v>S</v>
          </cell>
        </row>
        <row r="216">
          <cell r="A216">
            <v>349000</v>
          </cell>
          <cell r="B216" t="str">
            <v>Servicios financieros, bancarios y comerciales integrales</v>
          </cell>
          <cell r="C216" t="str">
            <v>N</v>
          </cell>
        </row>
        <row r="217">
          <cell r="A217">
            <v>349001</v>
          </cell>
          <cell r="B217" t="str">
            <v>Servicios financieros, bancarios y comerciales integrales</v>
          </cell>
          <cell r="C217" t="str">
            <v>S</v>
          </cell>
        </row>
        <row r="218">
          <cell r="A218">
            <v>350000</v>
          </cell>
          <cell r="B218" t="str">
            <v>SERVICIOS DE INSTALACIÓN, REPARACIÓN, MANTENIMIENTO Y CONSERVACIÓN</v>
          </cell>
          <cell r="C218" t="str">
            <v>N</v>
          </cell>
        </row>
        <row r="219">
          <cell r="A219">
            <v>351000</v>
          </cell>
          <cell r="B219" t="str">
            <v>Conservación y mantenimiento menor de inmuebles</v>
          </cell>
          <cell r="C219" t="str">
            <v>N</v>
          </cell>
        </row>
        <row r="220">
          <cell r="A220">
            <v>351001</v>
          </cell>
          <cell r="B220" t="str">
            <v>Mantenimiento de inmuebles</v>
          </cell>
          <cell r="C220" t="str">
            <v>S</v>
          </cell>
        </row>
        <row r="221">
          <cell r="A221">
            <v>351002</v>
          </cell>
          <cell r="B221" t="str">
            <v>Fumigación de Inmuebles</v>
          </cell>
          <cell r="C221" t="str">
            <v>S</v>
          </cell>
        </row>
        <row r="222">
          <cell r="A222">
            <v>351003</v>
          </cell>
          <cell r="B222" t="str">
            <v>Mantto. y Conserv. de Inmuebles Sub Proc. Zona Norte</v>
          </cell>
          <cell r="C222" t="str">
            <v>S</v>
          </cell>
        </row>
        <row r="223">
          <cell r="A223">
            <v>352000</v>
          </cell>
          <cell r="B223" t="str">
            <v>Instalación, reparación y mantenimiento de mobiliario y equipo de administración, educacional y recreativo</v>
          </cell>
          <cell r="C223" t="str">
            <v>N</v>
          </cell>
        </row>
        <row r="224">
          <cell r="A224">
            <v>352001</v>
          </cell>
          <cell r="B224" t="str">
            <v>Mantenimiento de mobiliario y equipo</v>
          </cell>
          <cell r="C224" t="str">
            <v>S</v>
          </cell>
        </row>
        <row r="225">
          <cell r="A225">
            <v>352002</v>
          </cell>
          <cell r="B225" t="str">
            <v>Gastos de instalación</v>
          </cell>
          <cell r="C225" t="str">
            <v>S</v>
          </cell>
        </row>
        <row r="226">
          <cell r="A226">
            <v>352003</v>
          </cell>
          <cell r="B226" t="str">
            <v>Mantto. y Conservación Archivo General de Notarias del Gob. del Edo.</v>
          </cell>
          <cell r="C226" t="str">
            <v>S</v>
          </cell>
        </row>
        <row r="227">
          <cell r="A227">
            <v>353000</v>
          </cell>
          <cell r="B227" t="str">
            <v>Instalación, reparación y mantenimiento de equipo de cómputo y tecnología de la información</v>
          </cell>
          <cell r="C227" t="str">
            <v>N</v>
          </cell>
        </row>
        <row r="228">
          <cell r="A228">
            <v>353001</v>
          </cell>
          <cell r="B228" t="str">
            <v>Instalación, reparación y mantenimiento de equipo de cómputo y tecnología  de la información</v>
          </cell>
          <cell r="C228" t="str">
            <v>S</v>
          </cell>
        </row>
        <row r="229">
          <cell r="A229">
            <v>354000</v>
          </cell>
          <cell r="B229" t="str">
            <v>Instalación, reparación y mantenimiento de equipo e instrumental médico y de laboratorio</v>
          </cell>
          <cell r="C229" t="str">
            <v>N</v>
          </cell>
        </row>
        <row r="230">
          <cell r="A230">
            <v>354001</v>
          </cell>
          <cell r="B230" t="str">
            <v>Instalación, reparación y mantenimiento de equipo e instrumental médico y de laboratorio</v>
          </cell>
          <cell r="C230" t="str">
            <v>S</v>
          </cell>
        </row>
        <row r="231">
          <cell r="A231">
            <v>355000</v>
          </cell>
          <cell r="B231" t="str">
            <v>Reparación y mantenimiento de equipo de transporte</v>
          </cell>
          <cell r="C231" t="str">
            <v>N</v>
          </cell>
        </row>
        <row r="232">
          <cell r="A232">
            <v>355001</v>
          </cell>
          <cell r="B232" t="str">
            <v>Mantto. y conservación de vehículos terrestres, aéreos, marítimos, lacustres y fluviales</v>
          </cell>
          <cell r="C232" t="str">
            <v>S</v>
          </cell>
        </row>
        <row r="233">
          <cell r="A233">
            <v>356000</v>
          </cell>
          <cell r="B233" t="str">
            <v>Reparación y mantenimiento de equipo de defensa y seguridad</v>
          </cell>
          <cell r="C233" t="str">
            <v>N</v>
          </cell>
        </row>
        <row r="234">
          <cell r="A234">
            <v>356001</v>
          </cell>
          <cell r="B234" t="str">
            <v>Reparación y mantenimiento de equipo de defensa y seguridad</v>
          </cell>
          <cell r="C234" t="str">
            <v>S</v>
          </cell>
        </row>
        <row r="235">
          <cell r="A235">
            <v>357000</v>
          </cell>
          <cell r="B235" t="str">
            <v>Instalación, reparación y mantenimiento de maquinaria, otros equipos y herramienta</v>
          </cell>
          <cell r="C235" t="str">
            <v>N</v>
          </cell>
        </row>
        <row r="236">
          <cell r="A236">
            <v>357001</v>
          </cell>
          <cell r="B236" t="str">
            <v>Instalación, reparación y mantenimiento de Equipo de Telecomunicaciones</v>
          </cell>
          <cell r="C236" t="str">
            <v>S</v>
          </cell>
        </row>
        <row r="237">
          <cell r="A237">
            <v>357002</v>
          </cell>
          <cell r="B237" t="str">
            <v>Instalación, reparación y mantenimiento de maquinaria, otros equipos y herramienta</v>
          </cell>
          <cell r="C237" t="str">
            <v>S</v>
          </cell>
        </row>
        <row r="238">
          <cell r="A238">
            <v>358000</v>
          </cell>
          <cell r="B238" t="str">
            <v>Servicios de limpieza y manejo de desechos</v>
          </cell>
          <cell r="C238" t="str">
            <v>N</v>
          </cell>
        </row>
        <row r="239">
          <cell r="A239">
            <v>358001</v>
          </cell>
          <cell r="B239" t="str">
            <v>Servicios de higiene y limpieza</v>
          </cell>
          <cell r="C239" t="str">
            <v>S</v>
          </cell>
        </row>
        <row r="240">
          <cell r="A240">
            <v>358002</v>
          </cell>
          <cell r="B240" t="str">
            <v>Servicios de Limpieza y Lavado de Vehículos</v>
          </cell>
          <cell r="C240" t="str">
            <v>S</v>
          </cell>
        </row>
        <row r="241">
          <cell r="A241">
            <v>358003</v>
          </cell>
          <cell r="B241" t="str">
            <v>Servicios de Lavandería</v>
          </cell>
          <cell r="C241" t="str">
            <v>S</v>
          </cell>
        </row>
        <row r="242">
          <cell r="A242">
            <v>359000</v>
          </cell>
          <cell r="B242" t="str">
            <v>Servicios de jardinería y fumigación</v>
          </cell>
          <cell r="C242" t="str">
            <v>N</v>
          </cell>
        </row>
        <row r="243">
          <cell r="A243">
            <v>359001</v>
          </cell>
          <cell r="B243" t="str">
            <v>Árboles, plantas, semillas y abonos</v>
          </cell>
          <cell r="C243" t="str">
            <v>S</v>
          </cell>
        </row>
        <row r="244">
          <cell r="A244">
            <v>359002</v>
          </cell>
          <cell r="B244" t="str">
            <v>Fumigación de áreas verdes</v>
          </cell>
          <cell r="C244" t="str">
            <v>S</v>
          </cell>
        </row>
        <row r="245">
          <cell r="A245">
            <v>360000</v>
          </cell>
          <cell r="B245" t="str">
            <v>SERVICIOS DE COMUNICACIÓN SOCIAL Y PUBLICIDAD</v>
          </cell>
          <cell r="C245" t="str">
            <v>N</v>
          </cell>
        </row>
        <row r="246">
          <cell r="A246">
            <v>361000</v>
          </cell>
          <cell r="B246" t="str">
            <v>Difusión por radio, televisión y otros medios de mensajes sobre programas y actividades gubernamentales</v>
          </cell>
          <cell r="C246" t="str">
            <v>N</v>
          </cell>
        </row>
        <row r="247">
          <cell r="A247">
            <v>361001</v>
          </cell>
          <cell r="B247" t="str">
            <v>Gastos de difusión</v>
          </cell>
          <cell r="C247" t="str">
            <v>S</v>
          </cell>
        </row>
        <row r="248">
          <cell r="A248">
            <v>361002</v>
          </cell>
          <cell r="B248" t="str">
            <v>Impresiones y publicaciones oficiales</v>
          </cell>
          <cell r="C248" t="str">
            <v>S</v>
          </cell>
        </row>
        <row r="249">
          <cell r="A249">
            <v>361003</v>
          </cell>
          <cell r="B249" t="str">
            <v>Rotulaciones oficiales</v>
          </cell>
          <cell r="C249" t="str">
            <v>S</v>
          </cell>
        </row>
        <row r="250">
          <cell r="A250">
            <v>361004</v>
          </cell>
          <cell r="B250" t="str">
            <v>Publicación de convocatorias</v>
          </cell>
          <cell r="C250" t="str">
            <v>S</v>
          </cell>
        </row>
        <row r="251">
          <cell r="A251">
            <v>362000</v>
          </cell>
          <cell r="B251" t="str">
            <v>Difusión por radio, televisión y otros medios de mensajes comerciales para promover la venta de bienes o servicios</v>
          </cell>
          <cell r="C251" t="str">
            <v>N</v>
          </cell>
        </row>
        <row r="252">
          <cell r="A252">
            <v>362001</v>
          </cell>
          <cell r="B252" t="str">
            <v>Difusión por radio, televisión y otros medios de mensajes comerciales para promover la venta de bienes o servicios</v>
          </cell>
          <cell r="C252" t="str">
            <v>S</v>
          </cell>
        </row>
        <row r="253">
          <cell r="A253">
            <v>362002</v>
          </cell>
          <cell r="B253" t="str">
            <v>Difusión por radio, televisión y otros medios de mensajes comerciales para promover la venta de bienes o servicios, fuera del país</v>
          </cell>
          <cell r="C253" t="str">
            <v>S</v>
          </cell>
        </row>
        <row r="254">
          <cell r="A254">
            <v>363000</v>
          </cell>
          <cell r="B254" t="str">
            <v>Servicios de creatividad, preproducción y producción de publicidad, excepto Internet</v>
          </cell>
          <cell r="C254" t="str">
            <v>N</v>
          </cell>
        </row>
        <row r="255">
          <cell r="A255">
            <v>363001</v>
          </cell>
          <cell r="B255" t="str">
            <v>Servicios de Producción y Diseño Publicitario</v>
          </cell>
          <cell r="C255" t="str">
            <v>S</v>
          </cell>
        </row>
        <row r="256">
          <cell r="A256">
            <v>364000</v>
          </cell>
          <cell r="B256" t="str">
            <v>Servicios de revelado de fotografías</v>
          </cell>
          <cell r="C256" t="str">
            <v>N</v>
          </cell>
        </row>
        <row r="257">
          <cell r="A257">
            <v>364001</v>
          </cell>
          <cell r="B257" t="str">
            <v>Revelado de Fotografías</v>
          </cell>
          <cell r="C257" t="str">
            <v>S</v>
          </cell>
        </row>
        <row r="258">
          <cell r="A258">
            <v>365000</v>
          </cell>
          <cell r="B258" t="str">
            <v>Servicios de la industria fílmica, del sonido y del video</v>
          </cell>
          <cell r="C258" t="str">
            <v>N</v>
          </cell>
        </row>
        <row r="259">
          <cell r="A259">
            <v>365001</v>
          </cell>
          <cell r="B259" t="str">
            <v>Servicios de la industria fílmica, del sonido y del video</v>
          </cell>
          <cell r="C259" t="str">
            <v>S</v>
          </cell>
        </row>
        <row r="260">
          <cell r="A260">
            <v>366000</v>
          </cell>
          <cell r="B260" t="str">
            <v>Servicio de creación y difusión de contenido exclusivamente a través de Internet</v>
          </cell>
          <cell r="C260" t="str">
            <v>N</v>
          </cell>
        </row>
        <row r="261">
          <cell r="A261">
            <v>366001</v>
          </cell>
          <cell r="B261" t="str">
            <v>Gastos de difusión a través de internet</v>
          </cell>
          <cell r="C261" t="str">
            <v>S</v>
          </cell>
        </row>
        <row r="262">
          <cell r="A262">
            <v>369000</v>
          </cell>
          <cell r="B262" t="str">
            <v>Otros servicios de información</v>
          </cell>
          <cell r="C262" t="str">
            <v>N</v>
          </cell>
        </row>
        <row r="263">
          <cell r="A263">
            <v>369001</v>
          </cell>
          <cell r="B263" t="str">
            <v>Monitoreo de Información y Encuestas</v>
          </cell>
          <cell r="C263" t="str">
            <v>S</v>
          </cell>
        </row>
        <row r="264">
          <cell r="A264">
            <v>370000</v>
          </cell>
          <cell r="B264" t="str">
            <v>SERVICIOS DE TRASLADO Y VIÁTICOS</v>
          </cell>
          <cell r="C264" t="str">
            <v>N</v>
          </cell>
        </row>
        <row r="265">
          <cell r="A265">
            <v>371000</v>
          </cell>
          <cell r="B265" t="str">
            <v>Pasajes aéreos</v>
          </cell>
          <cell r="C265" t="str">
            <v>N</v>
          </cell>
        </row>
        <row r="266">
          <cell r="A266">
            <v>371001</v>
          </cell>
          <cell r="B266" t="str">
            <v>Pasajes aéreos</v>
          </cell>
          <cell r="C266" t="str">
            <v>S</v>
          </cell>
        </row>
        <row r="267">
          <cell r="A267">
            <v>372000</v>
          </cell>
          <cell r="B267" t="str">
            <v>Pasajes terrestres</v>
          </cell>
          <cell r="C267" t="str">
            <v>N</v>
          </cell>
        </row>
        <row r="268">
          <cell r="A268">
            <v>372001</v>
          </cell>
          <cell r="B268" t="str">
            <v>Pasajes terrestres</v>
          </cell>
          <cell r="C268" t="str">
            <v>S</v>
          </cell>
        </row>
        <row r="269">
          <cell r="A269">
            <v>373000</v>
          </cell>
          <cell r="B269" t="str">
            <v>Pasajes marítimos, lacustres y fluviales</v>
          </cell>
          <cell r="C269" t="str">
            <v>N</v>
          </cell>
        </row>
        <row r="270">
          <cell r="A270">
            <v>373001</v>
          </cell>
          <cell r="B270" t="str">
            <v>Pasajes marítimos</v>
          </cell>
          <cell r="C270" t="str">
            <v>S</v>
          </cell>
        </row>
        <row r="271">
          <cell r="A271">
            <v>374000</v>
          </cell>
          <cell r="B271" t="str">
            <v>Autotransporte</v>
          </cell>
          <cell r="C271" t="str">
            <v>N</v>
          </cell>
        </row>
        <row r="272">
          <cell r="A272">
            <v>374001</v>
          </cell>
          <cell r="B272" t="str">
            <v>Autotransporte</v>
          </cell>
          <cell r="C272" t="str">
            <v>S</v>
          </cell>
        </row>
        <row r="273">
          <cell r="A273">
            <v>375000</v>
          </cell>
          <cell r="B273" t="str">
            <v>Viáticos en el país</v>
          </cell>
          <cell r="C273" t="str">
            <v>N</v>
          </cell>
        </row>
        <row r="274">
          <cell r="A274">
            <v>375001</v>
          </cell>
          <cell r="B274" t="str">
            <v>Viáticos</v>
          </cell>
          <cell r="C274" t="str">
            <v>S</v>
          </cell>
        </row>
        <row r="275">
          <cell r="A275">
            <v>376000</v>
          </cell>
          <cell r="B275" t="str">
            <v>Viáticos en el extranjero</v>
          </cell>
          <cell r="C275" t="str">
            <v>N</v>
          </cell>
        </row>
        <row r="276">
          <cell r="A276">
            <v>376001</v>
          </cell>
          <cell r="B276" t="str">
            <v>Viáticos en el extranjero</v>
          </cell>
          <cell r="C276" t="str">
            <v>S</v>
          </cell>
        </row>
        <row r="277">
          <cell r="A277">
            <v>377000</v>
          </cell>
          <cell r="B277" t="str">
            <v>Gastos de instalación y traslado de menaje</v>
          </cell>
          <cell r="C277" t="str">
            <v>N</v>
          </cell>
        </row>
        <row r="278">
          <cell r="A278">
            <v>377001</v>
          </cell>
          <cell r="B278" t="str">
            <v>Gastos de instalación y traslado de menaje</v>
          </cell>
          <cell r="C278" t="str">
            <v>S</v>
          </cell>
        </row>
        <row r="279">
          <cell r="A279">
            <v>378000</v>
          </cell>
          <cell r="B279" t="str">
            <v>Servicios integrales de traslado y viáticos</v>
          </cell>
          <cell r="C279" t="str">
            <v>N</v>
          </cell>
        </row>
        <row r="280">
          <cell r="A280">
            <v>378001</v>
          </cell>
          <cell r="B280" t="str">
            <v>Diligencias judiciales</v>
          </cell>
          <cell r="C280" t="str">
            <v>S</v>
          </cell>
        </row>
        <row r="281">
          <cell r="A281">
            <v>379000</v>
          </cell>
          <cell r="B281" t="str">
            <v>Otros servicios de traslado y hospedaje</v>
          </cell>
          <cell r="C281" t="str">
            <v>N</v>
          </cell>
        </row>
        <row r="282">
          <cell r="A282">
            <v>379001</v>
          </cell>
          <cell r="B282" t="str">
            <v>Traslado de vehículos</v>
          </cell>
          <cell r="C282" t="str">
            <v>S</v>
          </cell>
        </row>
        <row r="283">
          <cell r="A283">
            <v>379002</v>
          </cell>
          <cell r="B283" t="str">
            <v>Gastos de traslado de personas</v>
          </cell>
          <cell r="C283" t="str">
            <v>S</v>
          </cell>
        </row>
        <row r="284">
          <cell r="A284">
            <v>379003</v>
          </cell>
          <cell r="B284" t="str">
            <v>Hospedaje de personas</v>
          </cell>
          <cell r="C284" t="str">
            <v>S</v>
          </cell>
        </row>
        <row r="285">
          <cell r="A285">
            <v>380000</v>
          </cell>
          <cell r="B285" t="str">
            <v>SERVICIOS OFICIALES</v>
          </cell>
          <cell r="C285" t="str">
            <v>N</v>
          </cell>
        </row>
        <row r="286">
          <cell r="A286">
            <v>381000</v>
          </cell>
          <cell r="B286" t="str">
            <v>Gastos de ceremonial</v>
          </cell>
          <cell r="C286" t="str">
            <v>N</v>
          </cell>
        </row>
        <row r="287">
          <cell r="A287">
            <v>381001</v>
          </cell>
          <cell r="B287" t="str">
            <v>Atención a personalidades nacionales y extranjeras</v>
          </cell>
          <cell r="C287" t="str">
            <v>S</v>
          </cell>
        </row>
        <row r="288">
          <cell r="A288">
            <v>382000</v>
          </cell>
          <cell r="B288" t="str">
            <v>Gastos de orden social y cultural</v>
          </cell>
          <cell r="C288" t="str">
            <v>N</v>
          </cell>
        </row>
        <row r="289">
          <cell r="A289">
            <v>382001</v>
          </cell>
          <cell r="B289" t="str">
            <v>Espectáculos y actividades culturales</v>
          </cell>
          <cell r="C289" t="str">
            <v>S</v>
          </cell>
        </row>
        <row r="290">
          <cell r="A290">
            <v>382002</v>
          </cell>
          <cell r="B290" t="str">
            <v>Gastos de recepción, conmemorativos y de orden social</v>
          </cell>
          <cell r="C290" t="str">
            <v>S</v>
          </cell>
        </row>
        <row r="291">
          <cell r="A291">
            <v>382003</v>
          </cell>
          <cell r="B291" t="str">
            <v>Adaptaciones para eventos sociales y culturales</v>
          </cell>
          <cell r="C291" t="str">
            <v>S</v>
          </cell>
        </row>
        <row r="292">
          <cell r="A292">
            <v>382004</v>
          </cell>
          <cell r="B292" t="str">
            <v>Festividades y Eventos</v>
          </cell>
          <cell r="C292" t="str">
            <v>S</v>
          </cell>
        </row>
        <row r="293">
          <cell r="A293">
            <v>383000</v>
          </cell>
          <cell r="B293" t="str">
            <v>Congresos y convenciones</v>
          </cell>
          <cell r="C293" t="str">
            <v>N</v>
          </cell>
        </row>
        <row r="294">
          <cell r="A294">
            <v>383001</v>
          </cell>
          <cell r="B294" t="str">
            <v>Congresos y convenciones</v>
          </cell>
          <cell r="C294" t="str">
            <v>S</v>
          </cell>
        </row>
        <row r="295">
          <cell r="A295">
            <v>384000</v>
          </cell>
          <cell r="B295" t="str">
            <v>Exposiciones</v>
          </cell>
          <cell r="C295" t="str">
            <v>N</v>
          </cell>
        </row>
        <row r="296">
          <cell r="A296">
            <v>384001</v>
          </cell>
          <cell r="B296" t="str">
            <v>Exposiciones</v>
          </cell>
          <cell r="C296" t="str">
            <v>S</v>
          </cell>
        </row>
        <row r="297">
          <cell r="A297">
            <v>385000</v>
          </cell>
          <cell r="B297" t="str">
            <v>Gastos de representación</v>
          </cell>
          <cell r="C297" t="str">
            <v>N</v>
          </cell>
        </row>
        <row r="298">
          <cell r="A298">
            <v>385001</v>
          </cell>
          <cell r="B298" t="str">
            <v>Gastos de representación</v>
          </cell>
          <cell r="C298" t="str">
            <v>S</v>
          </cell>
        </row>
        <row r="299">
          <cell r="A299">
            <v>390000</v>
          </cell>
          <cell r="B299" t="str">
            <v>OTROS SERVICIOS GENERALES</v>
          </cell>
          <cell r="C299" t="str">
            <v>N</v>
          </cell>
        </row>
        <row r="300">
          <cell r="A300">
            <v>391000</v>
          </cell>
          <cell r="B300" t="str">
            <v>Servicios funerarios y de cementerios</v>
          </cell>
          <cell r="C300" t="str">
            <v>N</v>
          </cell>
        </row>
        <row r="301">
          <cell r="A301">
            <v>391001</v>
          </cell>
          <cell r="B301" t="str">
            <v>Servicios funerarios y de cementerios</v>
          </cell>
          <cell r="C301" t="str">
            <v>S</v>
          </cell>
        </row>
        <row r="302">
          <cell r="A302">
            <v>392000</v>
          </cell>
          <cell r="B302" t="str">
            <v>Impuestos y derechos</v>
          </cell>
          <cell r="C302" t="str">
            <v>N</v>
          </cell>
        </row>
        <row r="303">
          <cell r="A303">
            <v>392001</v>
          </cell>
          <cell r="B303" t="str">
            <v>Impuestos y derechos</v>
          </cell>
          <cell r="C303" t="str">
            <v>S</v>
          </cell>
        </row>
        <row r="304">
          <cell r="A304">
            <v>393000</v>
          </cell>
          <cell r="B304" t="str">
            <v>Impuestos y derechos de importación</v>
          </cell>
          <cell r="C304" t="str">
            <v>N</v>
          </cell>
        </row>
        <row r="305">
          <cell r="A305">
            <v>393001</v>
          </cell>
          <cell r="B305" t="str">
            <v>Impuestos y derechos de importación</v>
          </cell>
          <cell r="C305" t="str">
            <v>S</v>
          </cell>
        </row>
        <row r="306">
          <cell r="A306">
            <v>394000</v>
          </cell>
          <cell r="B306" t="str">
            <v>Sentencias y resoluciones judiciales</v>
          </cell>
          <cell r="C306" t="str">
            <v>N</v>
          </cell>
        </row>
        <row r="307">
          <cell r="A307">
            <v>394001</v>
          </cell>
          <cell r="B307" t="str">
            <v>Sentencias y resoluciones judiciales</v>
          </cell>
          <cell r="C307" t="str">
            <v>S</v>
          </cell>
        </row>
        <row r="308">
          <cell r="A308">
            <v>395000</v>
          </cell>
          <cell r="B308" t="str">
            <v>Penas, multas, accesorios y actualizaciones</v>
          </cell>
          <cell r="C308" t="str">
            <v>N</v>
          </cell>
        </row>
        <row r="309">
          <cell r="A309">
            <v>395001</v>
          </cell>
          <cell r="B309" t="str">
            <v>Penas, multas, accesorios y actualizaciones</v>
          </cell>
          <cell r="C309" t="str">
            <v>S</v>
          </cell>
        </row>
        <row r="310">
          <cell r="A310">
            <v>396000</v>
          </cell>
          <cell r="B310" t="str">
            <v>Otros gastos por responsabilidades</v>
          </cell>
          <cell r="C310" t="str">
            <v>N</v>
          </cell>
        </row>
        <row r="311">
          <cell r="A311">
            <v>396001</v>
          </cell>
          <cell r="B311" t="str">
            <v>Otros gastos por responsabilidades</v>
          </cell>
          <cell r="C311" t="str">
            <v>S</v>
          </cell>
        </row>
        <row r="312">
          <cell r="A312">
            <v>399000</v>
          </cell>
          <cell r="B312" t="str">
            <v>Otros servicios generales</v>
          </cell>
          <cell r="C312" t="str">
            <v>N</v>
          </cell>
        </row>
        <row r="313">
          <cell r="A313">
            <v>399001</v>
          </cell>
          <cell r="B313" t="str">
            <v>Gastos menores</v>
          </cell>
          <cell r="C313" t="str">
            <v>S</v>
          </cell>
        </row>
        <row r="314">
          <cell r="A314">
            <v>399002</v>
          </cell>
          <cell r="B314" t="str">
            <v>Retribuciones a reos</v>
          </cell>
          <cell r="C314" t="str">
            <v>S</v>
          </cell>
        </row>
        <row r="315">
          <cell r="A315">
            <v>399003</v>
          </cell>
          <cell r="B315" t="str">
            <v>Otros servicios de la administración pública</v>
          </cell>
          <cell r="C315" t="str">
            <v>S</v>
          </cell>
        </row>
        <row r="316">
          <cell r="A316">
            <v>399004</v>
          </cell>
          <cell r="B316" t="str">
            <v>Previsión Arrendamientos</v>
          </cell>
          <cell r="C316" t="str">
            <v>Prev</v>
          </cell>
        </row>
        <row r="317">
          <cell r="A317">
            <v>500000</v>
          </cell>
          <cell r="B317" t="str">
            <v>BIENES MUEBLES, INMUEBLES E INTANGIBLES</v>
          </cell>
          <cell r="C317" t="str">
            <v>N</v>
          </cell>
        </row>
        <row r="318">
          <cell r="A318">
            <v>510000</v>
          </cell>
          <cell r="B318" t="str">
            <v>MOBILIARIO Y EQUIPO DE ADMINISTRACIÓN</v>
          </cell>
          <cell r="C318" t="str">
            <v>N</v>
          </cell>
        </row>
        <row r="319">
          <cell r="A319">
            <v>511000</v>
          </cell>
          <cell r="B319" t="str">
            <v>Muebles de oficina y estantería</v>
          </cell>
          <cell r="C319" t="str">
            <v>N</v>
          </cell>
        </row>
        <row r="320">
          <cell r="A320">
            <v>511001</v>
          </cell>
          <cell r="B320" t="str">
            <v>Mobiliario</v>
          </cell>
          <cell r="C320" t="str">
            <v>S</v>
          </cell>
        </row>
        <row r="321">
          <cell r="A321">
            <v>512000</v>
          </cell>
          <cell r="B321" t="str">
            <v>Muebles, excepto de oficina y estantería</v>
          </cell>
          <cell r="C321" t="str">
            <v>N</v>
          </cell>
        </row>
        <row r="322">
          <cell r="A322">
            <v>512001</v>
          </cell>
          <cell r="B322" t="str">
            <v>Muebles, excepto de oficina y estantería</v>
          </cell>
          <cell r="C322" t="str">
            <v>S</v>
          </cell>
        </row>
        <row r="323">
          <cell r="A323">
            <v>513000</v>
          </cell>
          <cell r="B323" t="str">
            <v>Bienes artísticos, culturales y científicos</v>
          </cell>
          <cell r="C323" t="str">
            <v>N</v>
          </cell>
        </row>
        <row r="324">
          <cell r="A324">
            <v>513001</v>
          </cell>
          <cell r="B324" t="str">
            <v>Bienes artísticos y culturales</v>
          </cell>
          <cell r="C324" t="str">
            <v>S</v>
          </cell>
        </row>
        <row r="325">
          <cell r="A325">
            <v>514000</v>
          </cell>
          <cell r="B325" t="str">
            <v>Objetos de valor</v>
          </cell>
          <cell r="C325" t="str">
            <v>N</v>
          </cell>
        </row>
        <row r="326">
          <cell r="A326">
            <v>514001</v>
          </cell>
          <cell r="B326" t="str">
            <v>Objetos de valor</v>
          </cell>
          <cell r="C326" t="str">
            <v>S</v>
          </cell>
        </row>
        <row r="327">
          <cell r="A327">
            <v>515000</v>
          </cell>
          <cell r="B327" t="str">
            <v>Equipo de cómputo y de tecnologías de la información</v>
          </cell>
          <cell r="C327" t="str">
            <v>N</v>
          </cell>
        </row>
        <row r="328">
          <cell r="A328">
            <v>515001</v>
          </cell>
          <cell r="B328" t="str">
            <v>Equipo de administración</v>
          </cell>
          <cell r="C328" t="str">
            <v>S</v>
          </cell>
        </row>
        <row r="329">
          <cell r="A329">
            <v>515002</v>
          </cell>
          <cell r="B329" t="str">
            <v>Equipo de Cómputo y Aparatos de Uso Informático</v>
          </cell>
          <cell r="C329" t="str">
            <v>S</v>
          </cell>
        </row>
        <row r="330">
          <cell r="A330">
            <v>515003</v>
          </cell>
          <cell r="B330" t="str">
            <v>Sistemas de Rastreo Satelital (GPS)</v>
          </cell>
          <cell r="C330" t="str">
            <v>S</v>
          </cell>
        </row>
        <row r="331">
          <cell r="A331">
            <v>519000</v>
          </cell>
          <cell r="B331" t="str">
            <v>Otros mobiliarios y equipos de administración</v>
          </cell>
          <cell r="C331" t="str">
            <v>N</v>
          </cell>
        </row>
        <row r="332">
          <cell r="A332">
            <v>519001</v>
          </cell>
          <cell r="B332" t="str">
            <v>Cámaras y Circuitos Cerrados de Seguridad</v>
          </cell>
          <cell r="C332" t="str">
            <v>S</v>
          </cell>
        </row>
        <row r="333">
          <cell r="A333">
            <v>519002</v>
          </cell>
          <cell r="B333" t="str">
            <v>Equipos de Audio</v>
          </cell>
          <cell r="C333" t="str">
            <v>S</v>
          </cell>
        </row>
        <row r="334">
          <cell r="A334">
            <v>519003</v>
          </cell>
          <cell r="B334" t="str">
            <v>Otras Herramientas, Mobiliarios y Eq. De Administración</v>
          </cell>
          <cell r="C334" t="str">
            <v>S</v>
          </cell>
        </row>
        <row r="335">
          <cell r="A335">
            <v>519004</v>
          </cell>
          <cell r="B335" t="str">
            <v>Aulas Móviles de Vigilancia</v>
          </cell>
          <cell r="C335" t="str">
            <v>S</v>
          </cell>
        </row>
        <row r="336">
          <cell r="A336">
            <v>520000</v>
          </cell>
          <cell r="B336" t="str">
            <v>MOBILIARIO Y EQUIPO EDUCACIONAL Y RECREATIVO</v>
          </cell>
          <cell r="C336" t="str">
            <v>N</v>
          </cell>
        </row>
        <row r="337">
          <cell r="A337">
            <v>521000</v>
          </cell>
          <cell r="B337" t="str">
            <v>Equipos y aparatos audiovisuales</v>
          </cell>
          <cell r="C337" t="str">
            <v>N</v>
          </cell>
        </row>
        <row r="338">
          <cell r="A338">
            <v>521001</v>
          </cell>
          <cell r="B338" t="str">
            <v>Equipo educacional y recreativo</v>
          </cell>
          <cell r="C338" t="str">
            <v>S</v>
          </cell>
        </row>
        <row r="339">
          <cell r="A339">
            <v>522000</v>
          </cell>
          <cell r="B339" t="str">
            <v>Aparatos deportivos</v>
          </cell>
          <cell r="C339" t="str">
            <v>N</v>
          </cell>
        </row>
        <row r="340">
          <cell r="A340">
            <v>522001</v>
          </cell>
          <cell r="B340" t="str">
            <v>Aparatos deportivos</v>
          </cell>
          <cell r="C340" t="str">
            <v>S</v>
          </cell>
        </row>
        <row r="341">
          <cell r="A341">
            <v>523000</v>
          </cell>
          <cell r="B341" t="str">
            <v>Cámaras fotográficas y de video</v>
          </cell>
          <cell r="C341" t="str">
            <v>N</v>
          </cell>
        </row>
        <row r="342">
          <cell r="A342">
            <v>523001</v>
          </cell>
          <cell r="B342" t="str">
            <v>Cámaras Fotográficas</v>
          </cell>
          <cell r="C342" t="str">
            <v>S</v>
          </cell>
        </row>
        <row r="343">
          <cell r="A343">
            <v>523002</v>
          </cell>
          <cell r="B343" t="str">
            <v>Cámaras de Video</v>
          </cell>
          <cell r="C343" t="str">
            <v>S</v>
          </cell>
        </row>
        <row r="344">
          <cell r="A344">
            <v>529000</v>
          </cell>
          <cell r="B344" t="str">
            <v>Otro mobiliario y equipo educacional y recreativo</v>
          </cell>
          <cell r="C344" t="str">
            <v>N</v>
          </cell>
        </row>
        <row r="345">
          <cell r="A345">
            <v>529001</v>
          </cell>
          <cell r="B345" t="str">
            <v>Instrumentos Musicales</v>
          </cell>
          <cell r="C345" t="str">
            <v>S</v>
          </cell>
        </row>
        <row r="346">
          <cell r="A346">
            <v>529002</v>
          </cell>
          <cell r="B346" t="str">
            <v>Equipo Educacional</v>
          </cell>
          <cell r="C346" t="str">
            <v>S</v>
          </cell>
        </row>
        <row r="347">
          <cell r="A347">
            <v>530000</v>
          </cell>
          <cell r="B347" t="str">
            <v>EQUIPO E INSTRUMENTAL MÉDICO Y DE LABORATORIO</v>
          </cell>
          <cell r="C347" t="str">
            <v>N</v>
          </cell>
        </row>
        <row r="348">
          <cell r="A348">
            <v>531000</v>
          </cell>
          <cell r="B348" t="str">
            <v>Equipo médico y de laboratorio</v>
          </cell>
          <cell r="C348" t="str">
            <v>N</v>
          </cell>
        </row>
        <row r="349">
          <cell r="A349">
            <v>531001</v>
          </cell>
          <cell r="B349" t="str">
            <v>Equipo e instrumental medico</v>
          </cell>
          <cell r="C349" t="str">
            <v>S</v>
          </cell>
        </row>
        <row r="350">
          <cell r="A350">
            <v>532000</v>
          </cell>
          <cell r="B350" t="str">
            <v>Instrumental médico y de laboratorio</v>
          </cell>
          <cell r="C350" t="str">
            <v>N</v>
          </cell>
        </row>
        <row r="351">
          <cell r="A351">
            <v>532001</v>
          </cell>
          <cell r="B351" t="str">
            <v>Instrumental médico y de laboratorio</v>
          </cell>
          <cell r="C351" t="str">
            <v>S</v>
          </cell>
        </row>
        <row r="352">
          <cell r="A352">
            <v>540000</v>
          </cell>
          <cell r="B352" t="str">
            <v>VEHÍCULOS Y EQUIPO DE TRANSPORTE</v>
          </cell>
          <cell r="C352" t="str">
            <v>N</v>
          </cell>
        </row>
        <row r="353">
          <cell r="A353">
            <v>541000</v>
          </cell>
          <cell r="B353" t="str">
            <v>Automóviles y camiones</v>
          </cell>
          <cell r="C353" t="str">
            <v>N</v>
          </cell>
        </row>
        <row r="354">
          <cell r="A354">
            <v>541001</v>
          </cell>
          <cell r="B354" t="str">
            <v>Vehículos y equipo terrestre</v>
          </cell>
          <cell r="C354" t="str">
            <v>S</v>
          </cell>
        </row>
        <row r="355">
          <cell r="A355">
            <v>542000</v>
          </cell>
          <cell r="B355" t="str">
            <v>Carrocerías y remolques</v>
          </cell>
          <cell r="C355" t="str">
            <v>N</v>
          </cell>
        </row>
        <row r="356">
          <cell r="A356">
            <v>542001</v>
          </cell>
          <cell r="B356" t="str">
            <v>Carrocerías y remolques</v>
          </cell>
          <cell r="C356" t="str">
            <v>S</v>
          </cell>
        </row>
        <row r="357">
          <cell r="A357">
            <v>543000</v>
          </cell>
          <cell r="B357" t="str">
            <v>Equipo aeroespacial</v>
          </cell>
          <cell r="C357" t="str">
            <v>N</v>
          </cell>
        </row>
        <row r="358">
          <cell r="A358">
            <v>543001</v>
          </cell>
          <cell r="B358" t="str">
            <v>Vehículos y equipo de transporte aéreo</v>
          </cell>
          <cell r="C358" t="str">
            <v>S</v>
          </cell>
        </row>
        <row r="359">
          <cell r="A359">
            <v>544000</v>
          </cell>
          <cell r="B359" t="str">
            <v>Equipo ferroviario</v>
          </cell>
          <cell r="C359" t="str">
            <v>N</v>
          </cell>
        </row>
        <row r="360">
          <cell r="A360">
            <v>544001</v>
          </cell>
          <cell r="B360" t="str">
            <v>Equipo ferroviario</v>
          </cell>
          <cell r="C360" t="str">
            <v>S</v>
          </cell>
        </row>
        <row r="361">
          <cell r="A361">
            <v>545000</v>
          </cell>
          <cell r="B361" t="str">
            <v>Embarcaciones</v>
          </cell>
          <cell r="C361" t="str">
            <v>N</v>
          </cell>
        </row>
        <row r="362">
          <cell r="A362">
            <v>545001</v>
          </cell>
          <cell r="B362" t="str">
            <v>Vehículos y equipo marino</v>
          </cell>
          <cell r="C362" t="str">
            <v>S</v>
          </cell>
        </row>
        <row r="363">
          <cell r="A363">
            <v>549000</v>
          </cell>
          <cell r="B363" t="str">
            <v>Otros Equipos de Transporte</v>
          </cell>
          <cell r="C363" t="str">
            <v>N</v>
          </cell>
        </row>
        <row r="364">
          <cell r="A364">
            <v>549001</v>
          </cell>
          <cell r="B364" t="str">
            <v>Otros equipos de transporte</v>
          </cell>
          <cell r="C364" t="str">
            <v>S</v>
          </cell>
        </row>
        <row r="365">
          <cell r="A365">
            <v>550000</v>
          </cell>
          <cell r="B365" t="str">
            <v>EQUIPO DE DEFENSA Y SEGURIDAD</v>
          </cell>
          <cell r="C365" t="str">
            <v>N</v>
          </cell>
        </row>
        <row r="366">
          <cell r="A366">
            <v>551000</v>
          </cell>
          <cell r="B366" t="str">
            <v>Equipo de defensa y seguridad</v>
          </cell>
          <cell r="C366" t="str">
            <v>N</v>
          </cell>
        </row>
        <row r="367">
          <cell r="A367">
            <v>551001</v>
          </cell>
          <cell r="B367" t="str">
            <v>Equipo de defensa y seguridad pública</v>
          </cell>
          <cell r="C367" t="str">
            <v>S</v>
          </cell>
        </row>
        <row r="368">
          <cell r="A368">
            <v>560000</v>
          </cell>
          <cell r="B368" t="str">
            <v>MAQUINARIA, OTROS EQUIPOS Y HERRAMIENTAS</v>
          </cell>
          <cell r="C368" t="str">
            <v>N</v>
          </cell>
        </row>
        <row r="369">
          <cell r="A369">
            <v>561000</v>
          </cell>
          <cell r="B369" t="str">
            <v>Maquinaria y equipo agropecuario</v>
          </cell>
          <cell r="C369" t="str">
            <v>N</v>
          </cell>
        </row>
        <row r="370">
          <cell r="A370">
            <v>561001</v>
          </cell>
          <cell r="B370" t="str">
            <v>Maquinaria y equipo agropecuario, industrial y de construcción</v>
          </cell>
          <cell r="C370" t="str">
            <v>S</v>
          </cell>
        </row>
        <row r="371">
          <cell r="A371">
            <v>562000</v>
          </cell>
          <cell r="B371" t="str">
            <v>Maquinaria y equipo industrial</v>
          </cell>
          <cell r="C371" t="str">
            <v>N</v>
          </cell>
        </row>
        <row r="372">
          <cell r="A372">
            <v>562001</v>
          </cell>
          <cell r="B372" t="str">
            <v>Bombas Industriales</v>
          </cell>
          <cell r="C372" t="str">
            <v>S</v>
          </cell>
        </row>
        <row r="373">
          <cell r="A373">
            <v>563000</v>
          </cell>
          <cell r="B373" t="str">
            <v>Maquinaria y equipo de construcción</v>
          </cell>
          <cell r="C373" t="str">
            <v>N</v>
          </cell>
        </row>
        <row r="374">
          <cell r="A374">
            <v>563001</v>
          </cell>
          <cell r="B374" t="str">
            <v>Maquinaria y equipo de construcción</v>
          </cell>
          <cell r="C374" t="str">
            <v>S</v>
          </cell>
        </row>
        <row r="375">
          <cell r="A375">
            <v>564000</v>
          </cell>
          <cell r="B375" t="str">
            <v>Sistemas de aire acondicionado, calefacción y de refrigeración industrial y comercial</v>
          </cell>
          <cell r="C375" t="str">
            <v>N</v>
          </cell>
        </row>
        <row r="376">
          <cell r="A376">
            <v>564001</v>
          </cell>
          <cell r="B376" t="str">
            <v>Sistemas de aire acondicionado, calefacción y de refrigeración industrial y comercial</v>
          </cell>
          <cell r="C376" t="str">
            <v>S</v>
          </cell>
        </row>
        <row r="377">
          <cell r="A377">
            <v>565000</v>
          </cell>
          <cell r="B377" t="str">
            <v>Equipo de comunicación y telecomunicación</v>
          </cell>
          <cell r="C377" t="str">
            <v>N</v>
          </cell>
        </row>
        <row r="378">
          <cell r="A378">
            <v>565001</v>
          </cell>
          <cell r="B378" t="str">
            <v>Maq. y equipo de telecomunicaciones, eléctrica y electrónica</v>
          </cell>
          <cell r="C378" t="str">
            <v>S</v>
          </cell>
        </row>
        <row r="379">
          <cell r="A379">
            <v>566000</v>
          </cell>
          <cell r="B379" t="str">
            <v>Equipos de generación eléctrica, aparatos y accesorios eléctricos</v>
          </cell>
          <cell r="C379" t="str">
            <v>N</v>
          </cell>
        </row>
        <row r="380">
          <cell r="A380">
            <v>566001</v>
          </cell>
          <cell r="B380" t="str">
            <v>Equipos de generación eléctrica</v>
          </cell>
          <cell r="C380" t="str">
            <v>S</v>
          </cell>
        </row>
        <row r="381">
          <cell r="A381">
            <v>566002</v>
          </cell>
          <cell r="B381" t="str">
            <v>Aparatos y Accesorios eléctricos</v>
          </cell>
          <cell r="C381" t="str">
            <v>S</v>
          </cell>
        </row>
        <row r="382">
          <cell r="A382">
            <v>567000</v>
          </cell>
          <cell r="B382" t="str">
            <v>Herramientas y máquinas-herramienta</v>
          </cell>
          <cell r="C382" t="str">
            <v>N</v>
          </cell>
        </row>
        <row r="383">
          <cell r="A383">
            <v>567001</v>
          </cell>
          <cell r="B383" t="str">
            <v>Herramientas y refacciones mayores</v>
          </cell>
          <cell r="C383" t="str">
            <v>S</v>
          </cell>
        </row>
        <row r="384">
          <cell r="A384">
            <v>569000</v>
          </cell>
          <cell r="B384" t="str">
            <v>Otros equipos</v>
          </cell>
          <cell r="C384" t="str">
            <v>N</v>
          </cell>
        </row>
        <row r="385">
          <cell r="A385">
            <v>569001</v>
          </cell>
          <cell r="B385" t="str">
            <v>Maquinaria y equipo diverso</v>
          </cell>
          <cell r="C385" t="str">
            <v>S</v>
          </cell>
        </row>
        <row r="386">
          <cell r="A386">
            <v>570000</v>
          </cell>
          <cell r="B386" t="str">
            <v>ACTIVOS BIOLÓGICOS</v>
          </cell>
          <cell r="C386" t="str">
            <v>N</v>
          </cell>
        </row>
        <row r="387">
          <cell r="A387">
            <v>571000</v>
          </cell>
          <cell r="B387" t="str">
            <v>Bovinos</v>
          </cell>
          <cell r="C387" t="str">
            <v>N</v>
          </cell>
        </row>
        <row r="388">
          <cell r="A388">
            <v>571001</v>
          </cell>
          <cell r="B388" t="str">
            <v>Bovinos</v>
          </cell>
          <cell r="C388" t="str">
            <v>S</v>
          </cell>
        </row>
        <row r="389">
          <cell r="A389">
            <v>572000</v>
          </cell>
          <cell r="B389" t="str">
            <v>Porcinos</v>
          </cell>
          <cell r="C389" t="str">
            <v>N</v>
          </cell>
        </row>
        <row r="390">
          <cell r="A390">
            <v>572001</v>
          </cell>
          <cell r="B390" t="str">
            <v>Porcinos</v>
          </cell>
          <cell r="C390" t="str">
            <v>S</v>
          </cell>
        </row>
        <row r="391">
          <cell r="A391">
            <v>573000</v>
          </cell>
          <cell r="B391" t="str">
            <v>Aves</v>
          </cell>
          <cell r="C391" t="str">
            <v>N</v>
          </cell>
        </row>
        <row r="392">
          <cell r="A392">
            <v>573001</v>
          </cell>
          <cell r="B392" t="str">
            <v>Aves</v>
          </cell>
          <cell r="C392" t="str">
            <v>S</v>
          </cell>
        </row>
        <row r="393">
          <cell r="A393">
            <v>574000</v>
          </cell>
          <cell r="B393" t="str">
            <v>Ovinos y caprinos</v>
          </cell>
          <cell r="C393" t="str">
            <v>N</v>
          </cell>
        </row>
        <row r="394">
          <cell r="A394">
            <v>574001</v>
          </cell>
          <cell r="B394" t="str">
            <v>Ovinos y caprinos</v>
          </cell>
          <cell r="C394" t="str">
            <v>S</v>
          </cell>
        </row>
        <row r="395">
          <cell r="A395">
            <v>575000</v>
          </cell>
          <cell r="B395" t="str">
            <v>Peces y acuicultura</v>
          </cell>
          <cell r="C395" t="str">
            <v>N</v>
          </cell>
        </row>
        <row r="396">
          <cell r="A396">
            <v>575001</v>
          </cell>
          <cell r="B396" t="str">
            <v>Peces y acuicultura</v>
          </cell>
          <cell r="C396" t="str">
            <v>S</v>
          </cell>
        </row>
        <row r="397">
          <cell r="A397">
            <v>576000</v>
          </cell>
          <cell r="B397" t="str">
            <v>Equinos</v>
          </cell>
          <cell r="C397" t="str">
            <v>N</v>
          </cell>
        </row>
        <row r="398">
          <cell r="A398">
            <v>576001</v>
          </cell>
          <cell r="B398" t="str">
            <v>Equinos</v>
          </cell>
          <cell r="C398" t="str">
            <v>S</v>
          </cell>
        </row>
        <row r="399">
          <cell r="A399">
            <v>577000</v>
          </cell>
          <cell r="B399" t="str">
            <v>Especies menores y de zoológico</v>
          </cell>
          <cell r="C399" t="str">
            <v>N</v>
          </cell>
        </row>
        <row r="400">
          <cell r="A400">
            <v>577001</v>
          </cell>
          <cell r="B400" t="str">
            <v>Especies menores y de zoológico</v>
          </cell>
          <cell r="C400" t="str">
            <v>S</v>
          </cell>
        </row>
        <row r="401">
          <cell r="A401">
            <v>578000</v>
          </cell>
          <cell r="B401" t="str">
            <v>Árboles y plantas</v>
          </cell>
          <cell r="C401" t="str">
            <v>N</v>
          </cell>
        </row>
        <row r="402">
          <cell r="A402">
            <v>578001</v>
          </cell>
          <cell r="B402" t="str">
            <v>Árboles y plantas</v>
          </cell>
          <cell r="C402" t="str">
            <v>S</v>
          </cell>
        </row>
        <row r="403">
          <cell r="A403">
            <v>579000</v>
          </cell>
          <cell r="B403" t="str">
            <v>Otros activos biológicos</v>
          </cell>
          <cell r="C403" t="str">
            <v>N</v>
          </cell>
        </row>
        <row r="404">
          <cell r="A404">
            <v>579001</v>
          </cell>
          <cell r="B404" t="str">
            <v>Otros activos biológicos</v>
          </cell>
          <cell r="C404" t="str">
            <v>S</v>
          </cell>
        </row>
        <row r="405">
          <cell r="A405">
            <v>580000</v>
          </cell>
          <cell r="B405" t="str">
            <v>BIENES INMUEBLES</v>
          </cell>
          <cell r="C405" t="str">
            <v>N</v>
          </cell>
        </row>
        <row r="406">
          <cell r="A406">
            <v>581000</v>
          </cell>
          <cell r="B406" t="str">
            <v>Terrenos</v>
          </cell>
          <cell r="C406" t="str">
            <v>N</v>
          </cell>
        </row>
        <row r="407">
          <cell r="A407">
            <v>581001</v>
          </cell>
          <cell r="B407" t="str">
            <v>Terrenos</v>
          </cell>
          <cell r="C407" t="str">
            <v>S</v>
          </cell>
        </row>
        <row r="408">
          <cell r="A408">
            <v>582000</v>
          </cell>
          <cell r="B408" t="str">
            <v>Viviendas</v>
          </cell>
          <cell r="C408" t="str">
            <v>N</v>
          </cell>
        </row>
        <row r="409">
          <cell r="A409">
            <v>582001</v>
          </cell>
          <cell r="B409" t="str">
            <v>Viviendas</v>
          </cell>
          <cell r="C409" t="str">
            <v>S</v>
          </cell>
        </row>
        <row r="410">
          <cell r="A410">
            <v>583000</v>
          </cell>
          <cell r="B410" t="str">
            <v>Edificios no residenciales</v>
          </cell>
          <cell r="C410" t="str">
            <v>N</v>
          </cell>
        </row>
        <row r="411">
          <cell r="A411">
            <v>583001</v>
          </cell>
          <cell r="B411" t="str">
            <v>Edificios y locales</v>
          </cell>
          <cell r="C411" t="str">
            <v>S</v>
          </cell>
        </row>
        <row r="412">
          <cell r="A412">
            <v>589000</v>
          </cell>
          <cell r="B412" t="str">
            <v>Otros bienes inmuebles</v>
          </cell>
          <cell r="C412" t="str">
            <v>N</v>
          </cell>
        </row>
        <row r="413">
          <cell r="A413">
            <v>589001</v>
          </cell>
          <cell r="B413" t="str">
            <v>Adjudicaciones, expropiaciones e indemnizaciones de inmuebles</v>
          </cell>
          <cell r="C413" t="str">
            <v>S</v>
          </cell>
        </row>
        <row r="414">
          <cell r="A414">
            <v>590000</v>
          </cell>
          <cell r="B414" t="str">
            <v>ACTIVOS INTANGIBLES</v>
          </cell>
          <cell r="C414" t="str">
            <v>N</v>
          </cell>
        </row>
        <row r="415">
          <cell r="A415">
            <v>591000</v>
          </cell>
          <cell r="B415" t="str">
            <v>Software</v>
          </cell>
          <cell r="C415" t="str">
            <v>N</v>
          </cell>
        </row>
        <row r="416">
          <cell r="A416">
            <v>591001</v>
          </cell>
          <cell r="B416" t="str">
            <v>Software</v>
          </cell>
          <cell r="C416" t="str">
            <v>S</v>
          </cell>
        </row>
        <row r="417">
          <cell r="A417">
            <v>592000</v>
          </cell>
          <cell r="B417" t="str">
            <v>Patentes</v>
          </cell>
          <cell r="C417" t="str">
            <v>N</v>
          </cell>
        </row>
        <row r="418">
          <cell r="A418">
            <v>592001</v>
          </cell>
          <cell r="B418" t="str">
            <v>Patentes</v>
          </cell>
          <cell r="C418" t="str">
            <v>S</v>
          </cell>
        </row>
        <row r="419">
          <cell r="A419">
            <v>593000</v>
          </cell>
          <cell r="B419" t="str">
            <v>Marcas</v>
          </cell>
          <cell r="C419" t="str">
            <v>N</v>
          </cell>
        </row>
        <row r="420">
          <cell r="A420">
            <v>593001</v>
          </cell>
          <cell r="B420" t="str">
            <v>Marcas</v>
          </cell>
          <cell r="C420" t="str">
            <v>S</v>
          </cell>
        </row>
        <row r="421">
          <cell r="A421">
            <v>594000</v>
          </cell>
          <cell r="B421" t="str">
            <v>Derechos</v>
          </cell>
          <cell r="C421" t="str">
            <v>N</v>
          </cell>
        </row>
        <row r="422">
          <cell r="A422">
            <v>594001</v>
          </cell>
          <cell r="B422" t="str">
            <v>Derechos</v>
          </cell>
          <cell r="C422" t="str">
            <v>S</v>
          </cell>
        </row>
        <row r="423">
          <cell r="A423">
            <v>595000</v>
          </cell>
          <cell r="B423" t="str">
            <v>Concesiones</v>
          </cell>
          <cell r="C423" t="str">
            <v>N</v>
          </cell>
        </row>
        <row r="424">
          <cell r="A424">
            <v>595001</v>
          </cell>
          <cell r="B424" t="str">
            <v>Concesiones</v>
          </cell>
          <cell r="C424" t="str">
            <v>S</v>
          </cell>
        </row>
        <row r="425">
          <cell r="A425">
            <v>596000</v>
          </cell>
          <cell r="B425" t="str">
            <v>Franquicias</v>
          </cell>
          <cell r="C425" t="str">
            <v>N</v>
          </cell>
        </row>
        <row r="426">
          <cell r="A426">
            <v>596001</v>
          </cell>
          <cell r="B426" t="str">
            <v>Franquicias</v>
          </cell>
          <cell r="C426" t="str">
            <v>S</v>
          </cell>
        </row>
        <row r="427">
          <cell r="A427">
            <v>597000</v>
          </cell>
          <cell r="B427" t="str">
            <v>Licencias informáticas e intelectuales</v>
          </cell>
          <cell r="C427" t="str">
            <v>N</v>
          </cell>
        </row>
        <row r="428">
          <cell r="A428">
            <v>597001</v>
          </cell>
          <cell r="B428" t="str">
            <v>Licencias para programas de antivirus</v>
          </cell>
          <cell r="C428" t="str">
            <v>S</v>
          </cell>
        </row>
        <row r="429">
          <cell r="A429">
            <v>597002</v>
          </cell>
          <cell r="B429" t="str">
            <v>Licencias Microsoft Windows server 2003 edición estándar</v>
          </cell>
          <cell r="C429" t="str">
            <v>S</v>
          </cell>
        </row>
        <row r="430">
          <cell r="A430">
            <v>598000</v>
          </cell>
          <cell r="B430" t="str">
            <v>Licencias industriales, comerciales y otras</v>
          </cell>
          <cell r="C430" t="str">
            <v>N</v>
          </cell>
        </row>
        <row r="431">
          <cell r="A431">
            <v>598001</v>
          </cell>
          <cell r="B431" t="str">
            <v>Licencias industriales, comerciales y otras</v>
          </cell>
          <cell r="C431" t="str">
            <v>S</v>
          </cell>
        </row>
        <row r="432">
          <cell r="A432">
            <v>599000</v>
          </cell>
          <cell r="B432" t="str">
            <v>Otros activos intangibles</v>
          </cell>
          <cell r="C432" t="str">
            <v>N</v>
          </cell>
        </row>
        <row r="433">
          <cell r="A433">
            <v>599001</v>
          </cell>
          <cell r="B433" t="str">
            <v>Otros activos intangibles</v>
          </cell>
          <cell r="C433" t="str">
            <v>S</v>
          </cell>
        </row>
      </sheetData>
      <sheetData sheetId="4">
        <row r="1">
          <cell r="A1" t="str">
            <v>NOMENCLATURA</v>
          </cell>
          <cell r="B1" t="str">
            <v>DESCRPCION</v>
          </cell>
          <cell r="C1"/>
          <cell r="D1"/>
        </row>
        <row r="2">
          <cell r="A2">
            <v>100</v>
          </cell>
          <cell r="B2" t="str">
            <v>INGRESOS PROPIOS Y APROVECHAMIENTOS</v>
          </cell>
          <cell r="C2"/>
          <cell r="D2"/>
        </row>
        <row r="3">
          <cell r="A3">
            <v>101</v>
          </cell>
          <cell r="B3" t="str">
            <v>INGRESOS PROPIOS (IMPUESTOS, DERECHOS, PRODUCTOS Y APROVECHAMIENTOS)</v>
          </cell>
          <cell r="C3"/>
          <cell r="D3"/>
        </row>
        <row r="4">
          <cell r="A4">
            <v>102</v>
          </cell>
          <cell r="B4" t="str">
            <v>INGRESOS PROPIOS</v>
          </cell>
          <cell r="C4"/>
          <cell r="D4"/>
        </row>
        <row r="5">
          <cell r="A5">
            <v>103</v>
          </cell>
          <cell r="B5" t="str">
            <v>INGRESOS PROPIOS APORTACIONES MUNICIPALES</v>
          </cell>
          <cell r="C5"/>
          <cell r="D5"/>
        </row>
        <row r="6">
          <cell r="A6">
            <v>104</v>
          </cell>
          <cell r="B6" t="str">
            <v>APROVECHAMIENTO POR EL USO DE LA I NFRAESTRUCTURA ESTATAL</v>
          </cell>
          <cell r="C6"/>
          <cell r="D6"/>
        </row>
        <row r="7">
          <cell r="A7">
            <v>110</v>
          </cell>
          <cell r="B7" t="str">
            <v>RECURSO F.O.I.S.</v>
          </cell>
          <cell r="C7"/>
          <cell r="D7"/>
        </row>
        <row r="8">
          <cell r="A8">
            <v>111</v>
          </cell>
          <cell r="B8" t="str">
            <v>RECURSO A.P.I.</v>
          </cell>
          <cell r="C8"/>
          <cell r="D8"/>
        </row>
        <row r="9">
          <cell r="A9">
            <v>130</v>
          </cell>
          <cell r="B9" t="str">
            <v>Reintegro con Ingresos Propios Ramo 28</v>
          </cell>
          <cell r="C9"/>
          <cell r="D9"/>
        </row>
        <row r="10">
          <cell r="A10">
            <v>136</v>
          </cell>
          <cell r="B10" t="str">
            <v>Reintegro con Ingresos Propios FONE</v>
          </cell>
          <cell r="C10"/>
          <cell r="D10"/>
        </row>
        <row r="11">
          <cell r="A11">
            <v>137</v>
          </cell>
          <cell r="B11" t="str">
            <v>Reintegro con Ingresos Propios FASSA</v>
          </cell>
          <cell r="C11"/>
          <cell r="D11"/>
        </row>
        <row r="12">
          <cell r="A12">
            <v>138</v>
          </cell>
          <cell r="B12" t="str">
            <v>Reintegro con Ingresos Propios FAIS/FISE</v>
          </cell>
          <cell r="C12"/>
          <cell r="D12"/>
        </row>
        <row r="13">
          <cell r="A13">
            <v>139</v>
          </cell>
          <cell r="B13" t="str">
            <v>Reintegro con Ingresos Propios FAIS/FISM</v>
          </cell>
          <cell r="C13"/>
          <cell r="D13"/>
        </row>
        <row r="14">
          <cell r="A14">
            <v>140</v>
          </cell>
          <cell r="B14" t="str">
            <v>Reintegro con Ingresos Propios FORTAMUN</v>
          </cell>
          <cell r="C14"/>
          <cell r="D14"/>
        </row>
        <row r="15">
          <cell r="A15">
            <v>141</v>
          </cell>
          <cell r="B15" t="str">
            <v>Reintegro con Ingresos Propios FAM/Asistencia Social</v>
          </cell>
          <cell r="C15"/>
          <cell r="D15"/>
        </row>
        <row r="16">
          <cell r="A16">
            <v>142</v>
          </cell>
          <cell r="B16" t="str">
            <v>Reintegro con Ingresos Propios FAM/Infraest. Educación Básica</v>
          </cell>
          <cell r="C16"/>
          <cell r="D16"/>
        </row>
        <row r="17">
          <cell r="A17">
            <v>143</v>
          </cell>
          <cell r="B17" t="str">
            <v>Reintegro con Ingresos Propios FAM/ Infraest. Educación Media Superior y Superior</v>
          </cell>
          <cell r="C17"/>
          <cell r="D17"/>
        </row>
        <row r="18">
          <cell r="A18">
            <v>145</v>
          </cell>
          <cell r="B18" t="str">
            <v>Reintegro con Ingresos Propios FAETA/Educ. Tecnológica (CONALEP)</v>
          </cell>
          <cell r="C18"/>
          <cell r="D18"/>
        </row>
        <row r="19">
          <cell r="A19">
            <v>146</v>
          </cell>
          <cell r="B19" t="str">
            <v>Reintegro con Ingresos Propios FAETA Educ. Adultos (IEEA)</v>
          </cell>
          <cell r="C19"/>
          <cell r="D19"/>
        </row>
        <row r="20">
          <cell r="A20">
            <v>147</v>
          </cell>
          <cell r="B20" t="str">
            <v>Reintegro con Ingresos Propios FASP</v>
          </cell>
          <cell r="C20"/>
          <cell r="D20"/>
        </row>
        <row r="21">
          <cell r="A21">
            <v>148</v>
          </cell>
          <cell r="B21" t="str">
            <v>Reintegro con Ingresos Propios FAFEF</v>
          </cell>
          <cell r="C21"/>
          <cell r="D21"/>
        </row>
        <row r="22">
          <cell r="A22">
            <v>149</v>
          </cell>
          <cell r="B22" t="str">
            <v>Reintegro con Ingresos Propios SEDATU</v>
          </cell>
          <cell r="C22"/>
          <cell r="D22"/>
        </row>
        <row r="23">
          <cell r="A23">
            <v>161</v>
          </cell>
          <cell r="B23" t="str">
            <v>Reintegro con Ingresos Propios CULTURA Ramo 48</v>
          </cell>
          <cell r="C23"/>
          <cell r="D23"/>
        </row>
        <row r="24">
          <cell r="A24">
            <v>162</v>
          </cell>
          <cell r="B24" t="str">
            <v>Reintegro con Ingresos Propios UABCS</v>
          </cell>
          <cell r="C24"/>
          <cell r="D24"/>
        </row>
        <row r="25">
          <cell r="A25">
            <v>163</v>
          </cell>
          <cell r="B25" t="str">
            <v>Reintegro con Ingresos Propios CONAGUA</v>
          </cell>
          <cell r="C25"/>
          <cell r="D25"/>
        </row>
        <row r="26">
          <cell r="A26">
            <v>164</v>
          </cell>
          <cell r="B26" t="str">
            <v>Reintegro con Ingresos Propios SEGOB</v>
          </cell>
          <cell r="C26"/>
          <cell r="D26"/>
        </row>
        <row r="27">
          <cell r="A27">
            <v>165</v>
          </cell>
          <cell r="B27" t="str">
            <v>Reintegro con Ingresos Propios SECTUR</v>
          </cell>
          <cell r="C27"/>
          <cell r="D27"/>
        </row>
        <row r="28">
          <cell r="A28">
            <v>166</v>
          </cell>
          <cell r="B28" t="str">
            <v>Reintegro con Ingresos Propios PROFIS</v>
          </cell>
          <cell r="C28"/>
          <cell r="D28"/>
        </row>
        <row r="29">
          <cell r="A29">
            <v>167</v>
          </cell>
          <cell r="B29" t="str">
            <v>Reintegro con Ingresos Propios SSP</v>
          </cell>
          <cell r="C29"/>
          <cell r="D29"/>
        </row>
        <row r="30">
          <cell r="A30">
            <v>168</v>
          </cell>
          <cell r="B30" t="str">
            <v>Reintegro con Ingresos Propios COBACH</v>
          </cell>
          <cell r="C30"/>
          <cell r="D30"/>
        </row>
        <row r="31">
          <cell r="A31">
            <v>169</v>
          </cell>
          <cell r="B31" t="str">
            <v>Reintegro con Ingresos Propios Fondo Proporcional Peso a Peso</v>
          </cell>
          <cell r="C31"/>
          <cell r="D31"/>
        </row>
        <row r="32">
          <cell r="A32">
            <v>170</v>
          </cell>
          <cell r="B32" t="str">
            <v>Reintegro con Ingresos Propios CECYTE</v>
          </cell>
          <cell r="C32"/>
          <cell r="D32"/>
        </row>
        <row r="33">
          <cell r="A33">
            <v>171</v>
          </cell>
          <cell r="B33" t="str">
            <v>Reintegro con Ingresos Propios Imp. Ref. Penal (SETEC)</v>
          </cell>
          <cell r="C33"/>
          <cell r="D33"/>
        </row>
        <row r="34">
          <cell r="A34">
            <v>172</v>
          </cell>
          <cell r="B34" t="str">
            <v>Reintegro con Ingresos Propios CONADE</v>
          </cell>
          <cell r="C34"/>
          <cell r="D34"/>
        </row>
        <row r="35">
          <cell r="A35">
            <v>173</v>
          </cell>
          <cell r="B35" t="str">
            <v>Reintegro con Ingresos Propios Conv. Salud (Ramo 12)</v>
          </cell>
          <cell r="C35"/>
          <cell r="D35"/>
        </row>
        <row r="36">
          <cell r="A36">
            <v>174</v>
          </cell>
          <cell r="B36" t="str">
            <v>Reintegro con Ingresos Propios Secretaría de Economía</v>
          </cell>
          <cell r="C36"/>
          <cell r="D36"/>
        </row>
        <row r="37">
          <cell r="A37">
            <v>177</v>
          </cell>
          <cell r="B37" t="str">
            <v>Reintegro con Ingresos Propios SUBSEMUN</v>
          </cell>
          <cell r="C37"/>
          <cell r="D37"/>
        </row>
        <row r="38">
          <cell r="A38">
            <v>178</v>
          </cell>
          <cell r="B38" t="str">
            <v>Reintegro con Ingresos Propios Fondo Para La Infraest. de los Estados</v>
          </cell>
          <cell r="C38"/>
          <cell r="D38"/>
        </row>
        <row r="39">
          <cell r="A39">
            <v>179</v>
          </cell>
          <cell r="B39" t="str">
            <v>Reintegro con Ingresos Propios Apoyo Financiero Ext. UABCS</v>
          </cell>
          <cell r="C39"/>
          <cell r="D39"/>
        </row>
        <row r="40">
          <cell r="A40">
            <v>180</v>
          </cell>
          <cell r="B40" t="str">
            <v>Reintegro con Ingresos Propios Apoyo Financiero Ext. ISIFE</v>
          </cell>
          <cell r="C40"/>
          <cell r="D40"/>
        </row>
        <row r="41">
          <cell r="A41">
            <v>181</v>
          </cell>
          <cell r="B41" t="str">
            <v>Reintegro con Ingresos Propios Subs. Policía Estatal Acreditable (SPA)</v>
          </cell>
          <cell r="C41"/>
          <cell r="D41"/>
        </row>
        <row r="42">
          <cell r="A42">
            <v>182</v>
          </cell>
          <cell r="B42" t="str">
            <v>Reintegro con Ingresos Propios PROASP</v>
          </cell>
          <cell r="C42"/>
          <cell r="D42"/>
        </row>
        <row r="43">
          <cell r="A43">
            <v>183</v>
          </cell>
          <cell r="B43" t="str">
            <v>Reintegro con Ingresos Propios Ingresos Extraordinarios</v>
          </cell>
          <cell r="C43"/>
          <cell r="D43"/>
        </row>
        <row r="44">
          <cell r="A44">
            <v>184</v>
          </cell>
          <cell r="B44" t="str">
            <v>Reintegro con Ingresos Propios Ingresos Derivados del 5 Al Millar (Obra)</v>
          </cell>
          <cell r="C44"/>
          <cell r="D44"/>
        </row>
        <row r="45">
          <cell r="A45">
            <v>185</v>
          </cell>
          <cell r="B45" t="str">
            <v>Reintegro con Ingresos Propios Ingresos Extraordinarios Ramo 23</v>
          </cell>
          <cell r="C45"/>
          <cell r="D45"/>
        </row>
        <row r="46">
          <cell r="A46">
            <v>186</v>
          </cell>
          <cell r="B46" t="str">
            <v>Reintegro con Ingresos Propios Ingresos Extraordinarios Ramo 21</v>
          </cell>
          <cell r="C46"/>
          <cell r="D46"/>
        </row>
        <row r="47">
          <cell r="A47">
            <v>187</v>
          </cell>
          <cell r="B47" t="str">
            <v>Reintegro con Ingresos Propios Ingresos Extraordinarios Sep. Ramo 11</v>
          </cell>
          <cell r="C47"/>
          <cell r="D47"/>
        </row>
        <row r="48">
          <cell r="A48">
            <v>188</v>
          </cell>
          <cell r="B48" t="str">
            <v>Reintegro con Ingresos Propios Ingresos Ext. Ramo 09 (SCT)</v>
          </cell>
          <cell r="C48"/>
          <cell r="D48"/>
        </row>
        <row r="49">
          <cell r="A49">
            <v>189</v>
          </cell>
          <cell r="B49" t="str">
            <v>Reintegro con Ingresos Propios Ingresos Ext. Ramo 16 (SEMARNAT)</v>
          </cell>
          <cell r="C49"/>
          <cell r="D49"/>
        </row>
        <row r="50">
          <cell r="A50">
            <v>201</v>
          </cell>
          <cell r="B50" t="str">
            <v>BONO CUPÓN CERO</v>
          </cell>
          <cell r="C50"/>
          <cell r="D50"/>
        </row>
        <row r="51">
          <cell r="A51">
            <v>500</v>
          </cell>
          <cell r="B51" t="str">
            <v>RECURSOS FEDERALES</v>
          </cell>
          <cell r="C51"/>
          <cell r="D51"/>
        </row>
        <row r="52">
          <cell r="A52">
            <v>530</v>
          </cell>
          <cell r="B52" t="str">
            <v>PARTICIPACIONES Ramo 28</v>
          </cell>
          <cell r="C52"/>
          <cell r="D52"/>
        </row>
        <row r="53">
          <cell r="A53">
            <v>535</v>
          </cell>
          <cell r="B53" t="str">
            <v>INTERESES BANCARIOS PROYECTADOS, RECURSOS FEDERALES</v>
          </cell>
          <cell r="C53"/>
          <cell r="D53"/>
        </row>
        <row r="54">
          <cell r="A54">
            <v>536</v>
          </cell>
          <cell r="B54" t="str">
            <v>FONE Ramo 33</v>
          </cell>
          <cell r="C54"/>
          <cell r="D54"/>
        </row>
        <row r="55">
          <cell r="A55">
            <v>537</v>
          </cell>
          <cell r="B55" t="str">
            <v>FASSA Ramo 33</v>
          </cell>
          <cell r="C55"/>
          <cell r="D55"/>
        </row>
        <row r="56">
          <cell r="A56">
            <v>538</v>
          </cell>
          <cell r="B56" t="str">
            <v>FAIS/FISE Ramo 33</v>
          </cell>
          <cell r="C56"/>
          <cell r="D56"/>
        </row>
        <row r="57">
          <cell r="A57">
            <v>539</v>
          </cell>
          <cell r="B57" t="str">
            <v>FAIS/FISM Ramo 33</v>
          </cell>
          <cell r="C57"/>
          <cell r="D57"/>
        </row>
        <row r="58">
          <cell r="A58">
            <v>540</v>
          </cell>
          <cell r="B58" t="str">
            <v>FORTAMUN Ramo 33</v>
          </cell>
          <cell r="C58"/>
          <cell r="D58"/>
        </row>
        <row r="59">
          <cell r="A59">
            <v>541</v>
          </cell>
          <cell r="B59" t="str">
            <v>FAM/ASISTENCIA SOCIAL Ramo 33</v>
          </cell>
          <cell r="C59"/>
          <cell r="D59"/>
        </row>
        <row r="60">
          <cell r="A60">
            <v>542</v>
          </cell>
          <cell r="B60" t="str">
            <v>FAM/INFRAESTRUCTURA DE EDUCACIÓN BÁSICA Ramo 33</v>
          </cell>
          <cell r="C60"/>
          <cell r="D60"/>
        </row>
        <row r="61">
          <cell r="A61">
            <v>543</v>
          </cell>
          <cell r="B61" t="str">
            <v>FAM/EDUCACIÓN MEDIA SUPERIOR Y SUPERIOR Ramo 33</v>
          </cell>
          <cell r="C61"/>
          <cell r="D61"/>
        </row>
        <row r="62">
          <cell r="A62">
            <v>545</v>
          </cell>
          <cell r="B62" t="str">
            <v>FAETA/EDUCACIÓN TECNOLÓGICA ( CONALEP) Ramo 33</v>
          </cell>
          <cell r="C62"/>
          <cell r="D62"/>
        </row>
        <row r="63">
          <cell r="A63">
            <v>546</v>
          </cell>
          <cell r="B63" t="str">
            <v>FAETA/EDUCACIÓN ADULTOS (IEEA) Ramo 33</v>
          </cell>
          <cell r="C63"/>
          <cell r="D63"/>
        </row>
        <row r="64">
          <cell r="A64">
            <v>547</v>
          </cell>
          <cell r="B64" t="str">
            <v>FASP Ramo 33</v>
          </cell>
          <cell r="C64"/>
          <cell r="D64"/>
        </row>
        <row r="65">
          <cell r="A65">
            <v>548</v>
          </cell>
          <cell r="B65" t="str">
            <v>FAFEF Ramo 33</v>
          </cell>
          <cell r="C65"/>
          <cell r="D65"/>
        </row>
        <row r="66">
          <cell r="A66">
            <v>549</v>
          </cell>
          <cell r="B66" t="str">
            <v>SRIA. DE DES. AGRARIO TERRITORIAL Y URBANO (SEDATU) Ramo 15</v>
          </cell>
          <cell r="C66"/>
          <cell r="D66"/>
        </row>
        <row r="67">
          <cell r="A67">
            <v>561</v>
          </cell>
          <cell r="B67" t="str">
            <v>CULTURA FEDERAL Ramo 48</v>
          </cell>
          <cell r="C67"/>
          <cell r="D67"/>
        </row>
        <row r="68">
          <cell r="A68">
            <v>562</v>
          </cell>
          <cell r="B68" t="str">
            <v>UNIVERSIDAD AUTÓNOMA DE B.C.S. Ramo 11</v>
          </cell>
          <cell r="C68"/>
          <cell r="D68"/>
        </row>
        <row r="69">
          <cell r="A69">
            <v>563</v>
          </cell>
          <cell r="B69" t="str">
            <v>CONAGUA Ramo 16</v>
          </cell>
          <cell r="C69"/>
          <cell r="D69"/>
        </row>
        <row r="70">
          <cell r="A70">
            <v>564</v>
          </cell>
          <cell r="B70" t="str">
            <v>SECRETARÍA DE GOBERNACIÓN Ramo 04</v>
          </cell>
          <cell r="C70"/>
          <cell r="D70"/>
        </row>
        <row r="71">
          <cell r="A71">
            <v>565</v>
          </cell>
          <cell r="B71" t="str">
            <v>SECRETARÍA DE TURISMO Ramo 21</v>
          </cell>
          <cell r="C71"/>
          <cell r="D71"/>
        </row>
        <row r="72">
          <cell r="A72">
            <v>566</v>
          </cell>
          <cell r="B72" t="str">
            <v>PROFIS</v>
          </cell>
          <cell r="C72"/>
          <cell r="D72"/>
        </row>
        <row r="73">
          <cell r="A73">
            <v>567</v>
          </cell>
          <cell r="B73" t="str">
            <v>SECRETARÍA DE SEGURIDAD PÚBLICA</v>
          </cell>
          <cell r="C73"/>
          <cell r="D73"/>
        </row>
        <row r="74">
          <cell r="A74">
            <v>568</v>
          </cell>
          <cell r="B74" t="str">
            <v>COBACH Ramo 11</v>
          </cell>
          <cell r="C74"/>
          <cell r="D74"/>
        </row>
        <row r="75">
          <cell r="A75">
            <v>569</v>
          </cell>
          <cell r="B75" t="str">
            <v>FONDO PROPORCIONAL PESO A PESO</v>
          </cell>
          <cell r="C75"/>
          <cell r="D75"/>
        </row>
        <row r="76">
          <cell r="A76">
            <v>570</v>
          </cell>
          <cell r="B76" t="str">
            <v>CECYTE Ramo 11</v>
          </cell>
          <cell r="C76"/>
          <cell r="D76"/>
        </row>
        <row r="77">
          <cell r="A77">
            <v>571</v>
          </cell>
          <cell r="B77" t="str">
            <v>IMPLEMENTACIÓN DE LA REFORMA PENAL (SETEC)</v>
          </cell>
          <cell r="C77"/>
          <cell r="D77"/>
        </row>
        <row r="78">
          <cell r="A78">
            <v>572</v>
          </cell>
          <cell r="B78" t="str">
            <v>CONADE Ramo 11</v>
          </cell>
          <cell r="C78"/>
          <cell r="D78"/>
        </row>
        <row r="79">
          <cell r="A79">
            <v>573</v>
          </cell>
          <cell r="B79" t="str">
            <v>CONVENIOS Ramo 12</v>
          </cell>
          <cell r="C79"/>
          <cell r="D79"/>
        </row>
        <row r="80">
          <cell r="A80">
            <v>574</v>
          </cell>
          <cell r="B80" t="str">
            <v>SECRETARÍA DE ECONOMÍA Ramo 10</v>
          </cell>
          <cell r="C80"/>
          <cell r="D80"/>
        </row>
        <row r="81">
          <cell r="A81">
            <v>577</v>
          </cell>
          <cell r="B81" t="str">
            <v>SUBSIDIO SEGURIDAD PÚBLICA MUNICIPAL</v>
          </cell>
          <cell r="C81"/>
          <cell r="D81"/>
        </row>
        <row r="82">
          <cell r="A82">
            <v>578</v>
          </cell>
          <cell r="B82" t="str">
            <v>FIDEICOMISO PARA LA INFRAESTRUCTURA DE LOS ESTADOS Ramo 23</v>
          </cell>
          <cell r="C82"/>
          <cell r="D82"/>
        </row>
        <row r="83">
          <cell r="A83">
            <v>579</v>
          </cell>
          <cell r="B83" t="str">
            <v>APOYO FINANCIERO EXTRAORDINARIO UABCS Ramo 11</v>
          </cell>
          <cell r="C83"/>
          <cell r="D83"/>
        </row>
        <row r="84">
          <cell r="A84">
            <v>580</v>
          </cell>
          <cell r="B84" t="str">
            <v>APOYO FINANCIERO EXTRAORDINARIO ISIFE Ramo 11</v>
          </cell>
          <cell r="C84"/>
          <cell r="D84"/>
        </row>
        <row r="85">
          <cell r="A85">
            <v>581</v>
          </cell>
          <cell r="B85" t="str">
            <v>SUBSIDIO POLICÍA ESTATAL ACREDITABLE (SPA)</v>
          </cell>
          <cell r="C85"/>
          <cell r="D85"/>
        </row>
        <row r="86">
          <cell r="A86">
            <v>582</v>
          </cell>
          <cell r="B86" t="str">
            <v>PROASP PROG. DE ALCANCE NAL. EN MAT. DE SEG. PUB. Ramo 04</v>
          </cell>
          <cell r="C86"/>
          <cell r="D86"/>
        </row>
        <row r="87">
          <cell r="A87">
            <v>583</v>
          </cell>
          <cell r="B87" t="str">
            <v>INGRESOS EXTRAORDINARIOS</v>
          </cell>
          <cell r="C87"/>
          <cell r="D87"/>
        </row>
        <row r="88">
          <cell r="A88">
            <v>584</v>
          </cell>
          <cell r="B88" t="str">
            <v>INGRESOS DERIVADOS DEL 5 AL MILLAR (OBRA)</v>
          </cell>
          <cell r="C88"/>
          <cell r="D88"/>
        </row>
        <row r="89">
          <cell r="A89">
            <v>585</v>
          </cell>
          <cell r="B89" t="str">
            <v>INGRESOS EXT Ramo 23 ( Provisiones Salariales y Económicas )</v>
          </cell>
          <cell r="C89"/>
          <cell r="D89"/>
        </row>
        <row r="90">
          <cell r="A90">
            <v>586</v>
          </cell>
          <cell r="B90" t="str">
            <v>INGRESOS EXT Ramo 21 (TURISMO)</v>
          </cell>
          <cell r="C90"/>
          <cell r="D90"/>
        </row>
        <row r="91">
          <cell r="A91">
            <v>587</v>
          </cell>
          <cell r="B91" t="str">
            <v>INGRESOS EXT Ramo 11 (SEP)</v>
          </cell>
          <cell r="C91"/>
          <cell r="D91"/>
        </row>
        <row r="92">
          <cell r="A92">
            <v>588</v>
          </cell>
          <cell r="B92" t="str">
            <v>INGRESOS EXT Ramo 09 (SCT)</v>
          </cell>
          <cell r="C92"/>
          <cell r="D92"/>
        </row>
        <row r="93">
          <cell r="A93">
            <v>589</v>
          </cell>
          <cell r="B93" t="str">
            <v>INGRESOS EXT Ramo 16 (SEMARNAT)</v>
          </cell>
          <cell r="C93"/>
          <cell r="D93"/>
        </row>
        <row r="94">
          <cell r="A94">
            <v>590</v>
          </cell>
          <cell r="B94" t="str">
            <v>INGRESOS EXT FORTASEG Ramo 04 (GOBERNACIÓN)</v>
          </cell>
          <cell r="C94"/>
          <cell r="D94"/>
        </row>
        <row r="95">
          <cell r="A95">
            <v>591</v>
          </cell>
          <cell r="B95" t="str">
            <v>INGRESOS EXT Ramo 20 (BIENESTAR)</v>
          </cell>
          <cell r="C95"/>
          <cell r="D95"/>
        </row>
        <row r="96">
          <cell r="A96">
            <v>598</v>
          </cell>
          <cell r="B96" t="str">
            <v>REMANENTE FONE 2016</v>
          </cell>
          <cell r="C96"/>
          <cell r="D96"/>
        </row>
        <row r="97">
          <cell r="A97">
            <v>599</v>
          </cell>
          <cell r="B97" t="str">
            <v>REMANENTE FONE 2015</v>
          </cell>
          <cell r="C97"/>
          <cell r="D97"/>
        </row>
        <row r="98">
          <cell r="A98">
            <v>700</v>
          </cell>
          <cell r="B98" t="str">
            <v>OTROS RECURSOS</v>
          </cell>
          <cell r="C98"/>
          <cell r="D98"/>
        </row>
        <row r="99">
          <cell r="A99">
            <v>736</v>
          </cell>
          <cell r="B99" t="str">
            <v>RENDIMIENTOS FONE</v>
          </cell>
          <cell r="C99"/>
          <cell r="D99"/>
        </row>
        <row r="100">
          <cell r="A100">
            <v>737</v>
          </cell>
          <cell r="B100" t="str">
            <v>RENDIMIENTOS FAM</v>
          </cell>
          <cell r="C100"/>
          <cell r="D100"/>
        </row>
        <row r="101">
          <cell r="A101">
            <v>747</v>
          </cell>
          <cell r="B101" t="str">
            <v>RENDIMIENTOS FASP</v>
          </cell>
          <cell r="C101"/>
          <cell r="D101"/>
        </row>
        <row r="102">
          <cell r="A102">
            <v>783</v>
          </cell>
          <cell r="B102" t="str">
            <v>INGRESOS EXTRAORDINARIOS (OTROS)</v>
          </cell>
          <cell r="C102"/>
          <cell r="D102"/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AS"/>
      <sheetName val="CAPITULO"/>
      <sheetName val="PARTIDA"/>
      <sheetName val="COG"/>
      <sheetName val="FF"/>
      <sheetName val="PROCED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CUENTA</v>
          </cell>
          <cell r="B1" t="str">
            <v>CONCEPTO</v>
          </cell>
          <cell r="C1" t="str">
            <v>AFECTABLE/ NO
AFECTABLE</v>
          </cell>
        </row>
        <row r="2">
          <cell r="A2">
            <v>210000</v>
          </cell>
          <cell r="B2" t="str">
            <v>MATERIALES DE ADMINISTRACIÓN, EMISIÓN DE DOCUMENTOS Y ARTÍCULO OFICIALES</v>
          </cell>
          <cell r="C2" t="str">
            <v>N</v>
          </cell>
        </row>
        <row r="3">
          <cell r="A3">
            <v>211000</v>
          </cell>
          <cell r="B3" t="str">
            <v>Materiales, útiles y equipos menores de oficina</v>
          </cell>
          <cell r="C3" t="str">
            <v>N</v>
          </cell>
        </row>
        <row r="4">
          <cell r="A4">
            <v>211001</v>
          </cell>
          <cell r="B4" t="str">
            <v>Material de oficina</v>
          </cell>
          <cell r="C4" t="str">
            <v>S</v>
          </cell>
        </row>
        <row r="5">
          <cell r="A5">
            <v>212000</v>
          </cell>
          <cell r="B5" t="str">
            <v>Materiales y útiles de impresión y reproducción</v>
          </cell>
          <cell r="C5" t="str">
            <v>N</v>
          </cell>
        </row>
        <row r="6">
          <cell r="A6">
            <v>212001</v>
          </cell>
          <cell r="B6" t="str">
            <v>Material y útiles de impresión</v>
          </cell>
          <cell r="C6" t="str">
            <v>S</v>
          </cell>
        </row>
        <row r="7">
          <cell r="A7">
            <v>213000</v>
          </cell>
          <cell r="B7" t="str">
            <v>Material estadístico y geográfico</v>
          </cell>
          <cell r="C7" t="str">
            <v>N</v>
          </cell>
        </row>
        <row r="8">
          <cell r="A8">
            <v>213001</v>
          </cell>
          <cell r="B8" t="str">
            <v>Material estadístico y geográfico</v>
          </cell>
          <cell r="C8" t="str">
            <v>S</v>
          </cell>
        </row>
        <row r="9">
          <cell r="A9">
            <v>214000</v>
          </cell>
          <cell r="B9" t="str">
            <v>Materiales, útiles y equipos menores de tecnologías de la información y comunicaciones</v>
          </cell>
          <cell r="C9" t="str">
            <v>N</v>
          </cell>
        </row>
        <row r="10">
          <cell r="A10">
            <v>214001</v>
          </cell>
          <cell r="B10" t="str">
            <v>Materiales, útiles y equipos menores de tecnologías de la información y comunicaciones</v>
          </cell>
          <cell r="C10" t="str">
            <v>S</v>
          </cell>
        </row>
        <row r="11">
          <cell r="A11">
            <v>215000</v>
          </cell>
          <cell r="B11" t="str">
            <v>Material impreso e información digital</v>
          </cell>
          <cell r="C11" t="str">
            <v>N</v>
          </cell>
        </row>
        <row r="12">
          <cell r="A12">
            <v>215001</v>
          </cell>
          <cell r="B12" t="str">
            <v>Material didáctico</v>
          </cell>
          <cell r="C12" t="str">
            <v>S</v>
          </cell>
        </row>
        <row r="13">
          <cell r="A13">
            <v>215002</v>
          </cell>
          <cell r="B13" t="str">
            <v>Suscripciones a Periódicos, Revistas y Publicaciones Especializadas</v>
          </cell>
          <cell r="C13" t="str">
            <v>S</v>
          </cell>
        </row>
        <row r="14">
          <cell r="A14">
            <v>215003</v>
          </cell>
          <cell r="B14" t="str">
            <v>Material impreso e información digital</v>
          </cell>
          <cell r="C14" t="str">
            <v>S</v>
          </cell>
        </row>
        <row r="15">
          <cell r="A15">
            <v>216000</v>
          </cell>
          <cell r="B15" t="str">
            <v>Material de limpieza</v>
          </cell>
          <cell r="C15" t="str">
            <v>N</v>
          </cell>
        </row>
        <row r="16">
          <cell r="A16">
            <v>216001</v>
          </cell>
          <cell r="B16" t="str">
            <v>Material de limpieza</v>
          </cell>
          <cell r="C16" t="str">
            <v>S</v>
          </cell>
        </row>
        <row r="17">
          <cell r="A17">
            <v>217000</v>
          </cell>
          <cell r="B17" t="str">
            <v>Materiales y útiles de enseñanza</v>
          </cell>
          <cell r="C17" t="str">
            <v>N</v>
          </cell>
        </row>
        <row r="18">
          <cell r="A18">
            <v>217001</v>
          </cell>
          <cell r="B18" t="str">
            <v>Materiales y útiles de enseñanza</v>
          </cell>
          <cell r="C18" t="str">
            <v>S</v>
          </cell>
        </row>
        <row r="19">
          <cell r="A19">
            <v>218000</v>
          </cell>
          <cell r="B19" t="str">
            <v>Materiales para el registro e identificación de bienes y personas</v>
          </cell>
          <cell r="C19" t="str">
            <v>N</v>
          </cell>
        </row>
        <row r="20">
          <cell r="A20">
            <v>218001</v>
          </cell>
          <cell r="B20" t="str">
            <v>Materiales para el registro e identificación de bienes y personas</v>
          </cell>
          <cell r="C20" t="str">
            <v>S</v>
          </cell>
        </row>
        <row r="21">
          <cell r="A21">
            <v>218002</v>
          </cell>
          <cell r="B21" t="str">
            <v>Placas, Engomados, Calcomanías y Hologramas</v>
          </cell>
          <cell r="C21" t="str">
            <v>S</v>
          </cell>
        </row>
        <row r="22">
          <cell r="A22">
            <v>218003</v>
          </cell>
          <cell r="B22" t="str">
            <v>Emisión de Licencias de Conducir</v>
          </cell>
          <cell r="C22" t="str">
            <v>S</v>
          </cell>
        </row>
        <row r="23">
          <cell r="A23">
            <v>218004</v>
          </cell>
          <cell r="B23" t="str">
            <v>Emisión de Formatos Únicos de Control Vehicular</v>
          </cell>
          <cell r="C23" t="str">
            <v>S</v>
          </cell>
        </row>
        <row r="24">
          <cell r="A24">
            <v>220000</v>
          </cell>
          <cell r="B24" t="str">
            <v>ALIMENTOS Y UTENSILIOS</v>
          </cell>
          <cell r="C24" t="str">
            <v>N</v>
          </cell>
        </row>
        <row r="25">
          <cell r="A25">
            <v>221000</v>
          </cell>
          <cell r="B25" t="str">
            <v>Productos alimenticios para personas</v>
          </cell>
          <cell r="C25" t="str">
            <v>N</v>
          </cell>
        </row>
        <row r="26">
          <cell r="A26">
            <v>221001</v>
          </cell>
          <cell r="B26" t="str">
            <v>Alimentación de personas</v>
          </cell>
          <cell r="C26" t="str">
            <v>S</v>
          </cell>
        </row>
        <row r="27">
          <cell r="A27">
            <v>222000</v>
          </cell>
          <cell r="B27" t="str">
            <v>Productos alimenticios para animales</v>
          </cell>
          <cell r="C27" t="str">
            <v>N</v>
          </cell>
        </row>
        <row r="28">
          <cell r="A28">
            <v>222001</v>
          </cell>
          <cell r="B28" t="str">
            <v>Alimentación de animales</v>
          </cell>
          <cell r="C28" t="str">
            <v>S</v>
          </cell>
        </row>
        <row r="29">
          <cell r="A29">
            <v>223000</v>
          </cell>
          <cell r="B29" t="str">
            <v>Utensilios para el servicio de alimentación</v>
          </cell>
          <cell r="C29" t="str">
            <v>N</v>
          </cell>
        </row>
        <row r="30">
          <cell r="A30">
            <v>223001</v>
          </cell>
          <cell r="B30" t="str">
            <v>Utensilios para el servicio de alimentación</v>
          </cell>
          <cell r="C30" t="str">
            <v>S</v>
          </cell>
        </row>
        <row r="31">
          <cell r="A31">
            <v>230000</v>
          </cell>
          <cell r="B31" t="str">
            <v>MATERIAS PRIMAS Y MATERIALES DE PRODUCCIÓN Y COMERCIALIZACIÓN</v>
          </cell>
          <cell r="C31" t="str">
            <v>N</v>
          </cell>
        </row>
        <row r="32">
          <cell r="A32">
            <v>231000</v>
          </cell>
          <cell r="B32" t="str">
            <v>Productos alimenticios, agropecuarios y forestales adquiridos como materia prima</v>
          </cell>
          <cell r="C32" t="str">
            <v>N</v>
          </cell>
        </row>
        <row r="33">
          <cell r="A33">
            <v>231001</v>
          </cell>
          <cell r="B33" t="str">
            <v>Materias primas para producción</v>
          </cell>
          <cell r="C33" t="str">
            <v>S</v>
          </cell>
        </row>
        <row r="34">
          <cell r="A34">
            <v>232000</v>
          </cell>
          <cell r="B34" t="str">
            <v>Insumos textiles adquiridos como materia prima</v>
          </cell>
          <cell r="C34" t="str">
            <v>N</v>
          </cell>
        </row>
        <row r="35">
          <cell r="A35">
            <v>232001</v>
          </cell>
          <cell r="B35" t="str">
            <v>Insumos textiles adquiridos como materia prima</v>
          </cell>
          <cell r="C35" t="str">
            <v>S</v>
          </cell>
        </row>
        <row r="36">
          <cell r="A36">
            <v>233000</v>
          </cell>
          <cell r="B36" t="str">
            <v>Productos de papel, cartón e impresos adquiridos como materia prima</v>
          </cell>
          <cell r="C36" t="str">
            <v>N</v>
          </cell>
        </row>
        <row r="37">
          <cell r="A37">
            <v>233001</v>
          </cell>
          <cell r="B37" t="str">
            <v>Productos de papel, cartón e impresos adquiridos como materia prima</v>
          </cell>
          <cell r="C37" t="str">
            <v>S</v>
          </cell>
        </row>
        <row r="38">
          <cell r="A38">
            <v>234000</v>
          </cell>
          <cell r="B38" t="str">
            <v>Combustibles, lubricantes, aditivos, carbón y sus derivados adquiridos como materia prima</v>
          </cell>
          <cell r="C38" t="str">
            <v>N</v>
          </cell>
        </row>
        <row r="39">
          <cell r="A39">
            <v>234001</v>
          </cell>
          <cell r="B39" t="str">
            <v>Combustibles, lubricantes, aditivos, carbón y sus derivados adquiridos como materia prima</v>
          </cell>
          <cell r="C39" t="str">
            <v>S</v>
          </cell>
        </row>
        <row r="40">
          <cell r="A40">
            <v>235000</v>
          </cell>
          <cell r="B40" t="str">
            <v>Productos químicos, farmacéuticos y de laboratorio adquiridos como materia prima</v>
          </cell>
          <cell r="C40" t="str">
            <v>N</v>
          </cell>
        </row>
        <row r="41">
          <cell r="A41">
            <v>235001</v>
          </cell>
          <cell r="B41" t="str">
            <v>Productos químicos, farmacéuticos y de laboratorio adquiridos como materia prima</v>
          </cell>
          <cell r="C41" t="str">
            <v>S</v>
          </cell>
        </row>
        <row r="42">
          <cell r="A42">
            <v>236000</v>
          </cell>
          <cell r="B42" t="str">
            <v>Productos metálicos y a base de minerales no metálicos adquiridos como materia prima</v>
          </cell>
          <cell r="C42" t="str">
            <v>N</v>
          </cell>
        </row>
        <row r="43">
          <cell r="A43">
            <v>236001</v>
          </cell>
          <cell r="B43" t="str">
            <v>Productos metálicos y a base de minerales no metálicos adquiridos como materia prima</v>
          </cell>
          <cell r="C43" t="str">
            <v>S</v>
          </cell>
        </row>
        <row r="44">
          <cell r="A44">
            <v>237000</v>
          </cell>
          <cell r="B44" t="str">
            <v>Productos de cuero, piel, plástico y hule adquiridos como materia prima</v>
          </cell>
          <cell r="C44" t="str">
            <v>N</v>
          </cell>
        </row>
        <row r="45">
          <cell r="A45">
            <v>237001</v>
          </cell>
          <cell r="B45" t="str">
            <v>Productos de cuero, piel, plástico y hule adquiridos como materia prima</v>
          </cell>
          <cell r="C45" t="str">
            <v>S</v>
          </cell>
        </row>
        <row r="46">
          <cell r="A46">
            <v>238000</v>
          </cell>
          <cell r="B46" t="str">
            <v>Mercancías adquiridas para su comercialización</v>
          </cell>
          <cell r="C46" t="str">
            <v>N</v>
          </cell>
        </row>
        <row r="47">
          <cell r="A47">
            <v>238001</v>
          </cell>
          <cell r="B47" t="str">
            <v>Mercancías adquiridas para su comercialización</v>
          </cell>
          <cell r="C47" t="str">
            <v>S</v>
          </cell>
        </row>
        <row r="48">
          <cell r="A48">
            <v>240000</v>
          </cell>
          <cell r="B48" t="str">
            <v>MATERIALES Y ARTÍCULOS DE CONSTRUCCIÓN Y DE REPARACIÓN</v>
          </cell>
          <cell r="C48" t="str">
            <v>N</v>
          </cell>
        </row>
        <row r="49">
          <cell r="A49">
            <v>241000</v>
          </cell>
          <cell r="B49" t="str">
            <v>Productos minerales no metálicos</v>
          </cell>
          <cell r="C49" t="str">
            <v>N</v>
          </cell>
        </row>
        <row r="50">
          <cell r="A50">
            <v>241001</v>
          </cell>
          <cell r="B50" t="str">
            <v>Productos minerales no metálicos</v>
          </cell>
          <cell r="C50" t="str">
            <v>S</v>
          </cell>
        </row>
        <row r="51">
          <cell r="A51">
            <v>242000</v>
          </cell>
          <cell r="B51" t="str">
            <v>Cemento y productos de concreto</v>
          </cell>
          <cell r="C51" t="str">
            <v>N</v>
          </cell>
        </row>
        <row r="52">
          <cell r="A52">
            <v>242001</v>
          </cell>
          <cell r="B52" t="str">
            <v>Cemento y productos de concreto</v>
          </cell>
          <cell r="C52" t="str">
            <v>S</v>
          </cell>
        </row>
        <row r="53">
          <cell r="A53">
            <v>243000</v>
          </cell>
          <cell r="B53" t="str">
            <v>Cal, yeso y productos de yeso</v>
          </cell>
          <cell r="C53" t="str">
            <v>N</v>
          </cell>
        </row>
        <row r="54">
          <cell r="A54">
            <v>243001</v>
          </cell>
          <cell r="B54" t="str">
            <v>Cal, yeso y productos de yeso</v>
          </cell>
          <cell r="C54" t="str">
            <v>S</v>
          </cell>
        </row>
        <row r="55">
          <cell r="A55">
            <v>244000</v>
          </cell>
          <cell r="B55" t="str">
            <v>Madera y productos de madera</v>
          </cell>
          <cell r="C55" t="str">
            <v>N</v>
          </cell>
        </row>
        <row r="56">
          <cell r="A56">
            <v>244001</v>
          </cell>
          <cell r="B56" t="str">
            <v>Madera y productos de madera</v>
          </cell>
          <cell r="C56" t="str">
            <v>S</v>
          </cell>
        </row>
        <row r="57">
          <cell r="A57">
            <v>245000</v>
          </cell>
          <cell r="B57" t="str">
            <v>Vidrio y productos de vidrio</v>
          </cell>
          <cell r="C57" t="str">
            <v>N</v>
          </cell>
        </row>
        <row r="58">
          <cell r="A58">
            <v>245001</v>
          </cell>
          <cell r="B58" t="str">
            <v>Vidrio y productos de vidrio</v>
          </cell>
          <cell r="C58" t="str">
            <v>S</v>
          </cell>
        </row>
        <row r="59">
          <cell r="A59">
            <v>246000</v>
          </cell>
          <cell r="B59" t="str">
            <v>Material eléctrico y electrónico</v>
          </cell>
          <cell r="C59" t="str">
            <v>N</v>
          </cell>
        </row>
        <row r="60">
          <cell r="A60">
            <v>246001</v>
          </cell>
          <cell r="B60" t="str">
            <v>Material eléctrico</v>
          </cell>
          <cell r="C60" t="str">
            <v>S</v>
          </cell>
        </row>
        <row r="61">
          <cell r="A61">
            <v>246002</v>
          </cell>
          <cell r="B61" t="str">
            <v>Material electrónico</v>
          </cell>
          <cell r="C61" t="str">
            <v>S</v>
          </cell>
        </row>
        <row r="62">
          <cell r="A62">
            <v>247000</v>
          </cell>
          <cell r="B62" t="str">
            <v>Artículos metálicos para la construcción</v>
          </cell>
          <cell r="C62" t="str">
            <v>N</v>
          </cell>
        </row>
        <row r="63">
          <cell r="A63">
            <v>247001</v>
          </cell>
          <cell r="B63" t="str">
            <v>Artículos metálicos para la construcción</v>
          </cell>
          <cell r="C63" t="str">
            <v>S</v>
          </cell>
        </row>
        <row r="64">
          <cell r="A64">
            <v>248000</v>
          </cell>
          <cell r="B64" t="str">
            <v>Materiales complementarios</v>
          </cell>
          <cell r="C64" t="str">
            <v>N</v>
          </cell>
        </row>
        <row r="65">
          <cell r="A65">
            <v>248001</v>
          </cell>
          <cell r="B65" t="str">
            <v>Materiales complementarios</v>
          </cell>
          <cell r="C65" t="str">
            <v>S</v>
          </cell>
        </row>
        <row r="66">
          <cell r="A66">
            <v>249000</v>
          </cell>
          <cell r="B66" t="str">
            <v>Otros materiales y artículos de construcción y reparación</v>
          </cell>
          <cell r="C66" t="str">
            <v>N</v>
          </cell>
        </row>
        <row r="67">
          <cell r="A67">
            <v>249001</v>
          </cell>
          <cell r="B67" t="str">
            <v>Materiales de construcción y complementarios</v>
          </cell>
          <cell r="C67" t="str">
            <v>S</v>
          </cell>
        </row>
        <row r="68">
          <cell r="A68">
            <v>249002</v>
          </cell>
          <cell r="B68" t="str">
            <v>Otros materiales de construcción y reparación</v>
          </cell>
          <cell r="C68" t="str">
            <v>S</v>
          </cell>
        </row>
        <row r="69">
          <cell r="A69">
            <v>250000</v>
          </cell>
          <cell r="B69" t="str">
            <v>PRODUCTOS QUÍMICOS, FARMACÉUTICOS Y DE LABORATORIO</v>
          </cell>
          <cell r="C69" t="str">
            <v>N</v>
          </cell>
        </row>
        <row r="70">
          <cell r="A70">
            <v>251000</v>
          </cell>
          <cell r="B70" t="str">
            <v>Productos químicos básicos</v>
          </cell>
          <cell r="C70" t="str">
            <v>N</v>
          </cell>
        </row>
        <row r="71">
          <cell r="A71">
            <v>251001</v>
          </cell>
          <cell r="B71" t="str">
            <v>Gas Refrigerante</v>
          </cell>
          <cell r="C71" t="str">
            <v>S</v>
          </cell>
        </row>
        <row r="72">
          <cell r="A72">
            <v>252000</v>
          </cell>
          <cell r="B72" t="str">
            <v>Fertilizantes, pesticidas y otros agroquímicos</v>
          </cell>
          <cell r="C72" t="str">
            <v>N</v>
          </cell>
        </row>
        <row r="73">
          <cell r="A73">
            <v>252001</v>
          </cell>
          <cell r="B73" t="str">
            <v>Fertilizantes, pesticidas y otros agroquímicos</v>
          </cell>
          <cell r="C73" t="str">
            <v>S</v>
          </cell>
        </row>
        <row r="74">
          <cell r="A74">
            <v>253000</v>
          </cell>
          <cell r="B74" t="str">
            <v>Medicinas y productos químicos, farmacéuticos</v>
          </cell>
          <cell r="C74" t="str">
            <v>N</v>
          </cell>
        </row>
        <row r="75">
          <cell r="A75">
            <v>253001</v>
          </cell>
          <cell r="B75" t="str">
            <v>Material y productos químicos, farmacéuticos</v>
          </cell>
          <cell r="C75" t="str">
            <v>S</v>
          </cell>
        </row>
        <row r="76">
          <cell r="A76">
            <v>254000</v>
          </cell>
          <cell r="B76" t="str">
            <v>Materiales, accesorios y suministros médicos</v>
          </cell>
          <cell r="C76" t="str">
            <v>N</v>
          </cell>
        </row>
        <row r="77">
          <cell r="A77">
            <v>254001</v>
          </cell>
          <cell r="B77" t="str">
            <v>Materiales, accesorios y suministros médicos</v>
          </cell>
          <cell r="C77" t="str">
            <v>S</v>
          </cell>
        </row>
        <row r="78">
          <cell r="A78">
            <v>255000</v>
          </cell>
          <cell r="B78" t="str">
            <v>Materiales, accesorios y suministros de laboratorio</v>
          </cell>
          <cell r="C78" t="str">
            <v>N</v>
          </cell>
        </row>
        <row r="79">
          <cell r="A79">
            <v>255001</v>
          </cell>
          <cell r="B79" t="str">
            <v>Materiales, accesorios y suministros de laboratorio</v>
          </cell>
          <cell r="C79" t="str">
            <v>S</v>
          </cell>
        </row>
        <row r="80">
          <cell r="A80">
            <v>256000</v>
          </cell>
          <cell r="B80" t="str">
            <v>Fibras sintéticas, hules, plásticos y derivados</v>
          </cell>
          <cell r="C80" t="str">
            <v>N</v>
          </cell>
        </row>
        <row r="81">
          <cell r="A81">
            <v>256001</v>
          </cell>
          <cell r="B81" t="str">
            <v>Fibras sintéticas, hules, plásticos y derivados</v>
          </cell>
          <cell r="C81" t="str">
            <v>S</v>
          </cell>
        </row>
        <row r="82">
          <cell r="A82">
            <v>259000</v>
          </cell>
          <cell r="B82" t="str">
            <v>Otros productos químicos</v>
          </cell>
          <cell r="C82" t="str">
            <v>N</v>
          </cell>
        </row>
        <row r="83">
          <cell r="A83">
            <v>259001</v>
          </cell>
          <cell r="B83" t="str">
            <v>Otros productos químicos</v>
          </cell>
          <cell r="C83" t="str">
            <v>S</v>
          </cell>
        </row>
        <row r="84">
          <cell r="A84">
            <v>260000</v>
          </cell>
          <cell r="B84" t="str">
            <v>COMBUSTIBLES, LUBRICANTES Y ADITIVOS</v>
          </cell>
          <cell r="C84" t="str">
            <v>N</v>
          </cell>
        </row>
        <row r="85">
          <cell r="A85">
            <v>261000</v>
          </cell>
          <cell r="B85" t="str">
            <v>Combustibles, lubricantes y aditivos</v>
          </cell>
          <cell r="C85" t="str">
            <v>N</v>
          </cell>
        </row>
        <row r="86">
          <cell r="A86">
            <v>261001</v>
          </cell>
          <cell r="B86" t="str">
            <v>Combustibles</v>
          </cell>
          <cell r="C86" t="str">
            <v>S</v>
          </cell>
        </row>
        <row r="87">
          <cell r="A87">
            <v>261002</v>
          </cell>
          <cell r="B87" t="str">
            <v>Lubricantes y aditivos</v>
          </cell>
          <cell r="C87" t="str">
            <v>S</v>
          </cell>
        </row>
        <row r="88">
          <cell r="A88">
            <v>262000</v>
          </cell>
          <cell r="B88" t="str">
            <v>Carbón y sus derivados</v>
          </cell>
          <cell r="C88" t="str">
            <v>N</v>
          </cell>
        </row>
        <row r="89">
          <cell r="A89">
            <v>262001</v>
          </cell>
          <cell r="B89" t="str">
            <v>Carbón y sus derivados</v>
          </cell>
          <cell r="C89" t="str">
            <v>S</v>
          </cell>
        </row>
        <row r="90">
          <cell r="A90">
            <v>270000</v>
          </cell>
          <cell r="B90" t="str">
            <v>VESTUARIO, BLANCOS, PRENDAS DE PROTECCIÓN Y ARTÍCULOS DEPORTIVOS</v>
          </cell>
          <cell r="C90" t="str">
            <v>N</v>
          </cell>
        </row>
        <row r="91">
          <cell r="A91">
            <v>271000</v>
          </cell>
          <cell r="B91" t="str">
            <v>Vestuario y uniformes</v>
          </cell>
          <cell r="C91" t="str">
            <v>N</v>
          </cell>
        </row>
        <row r="92">
          <cell r="A92">
            <v>271001</v>
          </cell>
          <cell r="B92" t="str">
            <v>Ropa, vestuario y equipo</v>
          </cell>
          <cell r="C92" t="str">
            <v>S</v>
          </cell>
        </row>
        <row r="93">
          <cell r="A93">
            <v>272000</v>
          </cell>
          <cell r="B93" t="str">
            <v>Prendas de seguridad y protección personal</v>
          </cell>
          <cell r="C93" t="str">
            <v>N</v>
          </cell>
        </row>
        <row r="94">
          <cell r="A94">
            <v>272001</v>
          </cell>
          <cell r="B94" t="str">
            <v>Materiales explosivos y de seguridad pública</v>
          </cell>
          <cell r="C94" t="str">
            <v>S</v>
          </cell>
        </row>
        <row r="95">
          <cell r="A95">
            <v>272002</v>
          </cell>
          <cell r="B95" t="str">
            <v>Prendas de seguridad y protección personal</v>
          </cell>
          <cell r="C95" t="str">
            <v>S</v>
          </cell>
        </row>
        <row r="96">
          <cell r="A96">
            <v>273000</v>
          </cell>
          <cell r="B96" t="str">
            <v>Artículos deportivos</v>
          </cell>
          <cell r="C96" t="str">
            <v>N</v>
          </cell>
        </row>
        <row r="97">
          <cell r="A97">
            <v>273001</v>
          </cell>
          <cell r="B97" t="str">
            <v>Artículos deportivos</v>
          </cell>
          <cell r="C97" t="str">
            <v>S</v>
          </cell>
        </row>
        <row r="98">
          <cell r="A98">
            <v>274000</v>
          </cell>
          <cell r="B98" t="str">
            <v>Productos textiles</v>
          </cell>
          <cell r="C98" t="str">
            <v>N</v>
          </cell>
        </row>
        <row r="99">
          <cell r="A99">
            <v>274001</v>
          </cell>
          <cell r="B99" t="str">
            <v>Productos textiles</v>
          </cell>
          <cell r="C99" t="str">
            <v>S</v>
          </cell>
        </row>
        <row r="100">
          <cell r="A100">
            <v>275000</v>
          </cell>
          <cell r="B100" t="str">
            <v>Blancos y otros productos textiles, excepto prendas de vestir</v>
          </cell>
          <cell r="C100" t="str">
            <v>N</v>
          </cell>
        </row>
        <row r="101">
          <cell r="A101">
            <v>275001</v>
          </cell>
          <cell r="B101" t="str">
            <v>Blancos y otros productos textiles, excepto prendas de vestir</v>
          </cell>
          <cell r="C101" t="str">
            <v>S</v>
          </cell>
        </row>
        <row r="102">
          <cell r="A102">
            <v>280000</v>
          </cell>
          <cell r="B102" t="str">
            <v>MATERIALES Y SUMINISTROS PARA SEGURIDAD</v>
          </cell>
          <cell r="C102" t="str">
            <v>N</v>
          </cell>
        </row>
        <row r="103">
          <cell r="A103">
            <v>281000</v>
          </cell>
          <cell r="B103" t="str">
            <v>Sustancias y materiales explosivos</v>
          </cell>
          <cell r="C103" t="str">
            <v>N</v>
          </cell>
        </row>
        <row r="104">
          <cell r="A104">
            <v>281001</v>
          </cell>
          <cell r="B104" t="str">
            <v>Sustancias y materiales explosivos</v>
          </cell>
          <cell r="C104" t="str">
            <v>S</v>
          </cell>
        </row>
        <row r="105">
          <cell r="A105">
            <v>282000</v>
          </cell>
          <cell r="B105" t="str">
            <v>Materiales de seguridad pública</v>
          </cell>
          <cell r="C105" t="str">
            <v>N</v>
          </cell>
        </row>
        <row r="106">
          <cell r="A106">
            <v>282001</v>
          </cell>
          <cell r="B106" t="str">
            <v>Materiales de seguridad pública</v>
          </cell>
          <cell r="C106" t="str">
            <v>S</v>
          </cell>
        </row>
        <row r="107">
          <cell r="A107">
            <v>283000</v>
          </cell>
          <cell r="B107" t="str">
            <v>Prendas de protección para seguridad pública y nacional</v>
          </cell>
          <cell r="C107" t="str">
            <v>N</v>
          </cell>
        </row>
        <row r="108">
          <cell r="A108">
            <v>283001</v>
          </cell>
          <cell r="B108" t="str">
            <v>Prendas de protección para seguridad pública</v>
          </cell>
          <cell r="C108" t="str">
            <v>S</v>
          </cell>
        </row>
        <row r="109">
          <cell r="A109">
            <v>290000</v>
          </cell>
          <cell r="B109" t="str">
            <v>HERRAMIENTAS, REFACCIONES Y ACCESORIOS MENORES</v>
          </cell>
          <cell r="C109" t="str">
            <v>N</v>
          </cell>
        </row>
        <row r="110">
          <cell r="A110">
            <v>291000</v>
          </cell>
          <cell r="B110" t="str">
            <v>Herramientas menores</v>
          </cell>
          <cell r="C110" t="str">
            <v>N</v>
          </cell>
        </row>
        <row r="111">
          <cell r="A111">
            <v>291001</v>
          </cell>
          <cell r="B111" t="str">
            <v>Herramientas Auxiliares de Trabajo</v>
          </cell>
          <cell r="C111" t="str">
            <v>S</v>
          </cell>
        </row>
        <row r="112">
          <cell r="A112">
            <v>292000</v>
          </cell>
          <cell r="B112" t="str">
            <v>Refacciones y accesorios menores de edificios</v>
          </cell>
          <cell r="C112" t="str">
            <v>N</v>
          </cell>
        </row>
        <row r="113">
          <cell r="A113">
            <v>292001</v>
          </cell>
          <cell r="B113" t="str">
            <v>Refacciones y accesorios menores de edificios (candados, cerraduras, chapas, llaves)</v>
          </cell>
          <cell r="C113" t="str">
            <v>S</v>
          </cell>
        </row>
        <row r="114">
          <cell r="A114">
            <v>293000</v>
          </cell>
          <cell r="B114" t="str">
            <v>Refacciones y accesorios menores de mobiliario y equipo de administración, educacional y recreativo</v>
          </cell>
          <cell r="C114" t="str">
            <v>N</v>
          </cell>
        </row>
        <row r="115">
          <cell r="A115">
            <v>293001</v>
          </cell>
          <cell r="B115" t="str">
            <v>Refacciones y accesorios menores de mobiliario y equipo de administración, educacional y recreativo</v>
          </cell>
          <cell r="C115" t="str">
            <v>S</v>
          </cell>
        </row>
        <row r="116">
          <cell r="A116">
            <v>294000</v>
          </cell>
          <cell r="B116" t="str">
            <v>Refacciones y accesorios menores de equipo de cómputo y tecnologías de la información</v>
          </cell>
          <cell r="C116" t="str">
            <v>N</v>
          </cell>
        </row>
        <row r="117">
          <cell r="A117">
            <v>294001</v>
          </cell>
          <cell r="B117" t="str">
            <v>Dispositivos Internos y Externos de Equipo de Computo</v>
          </cell>
          <cell r="C117" t="str">
            <v>S</v>
          </cell>
        </row>
        <row r="118">
          <cell r="A118">
            <v>294002</v>
          </cell>
          <cell r="B118" t="str">
            <v>Refacciones y Accesorios Menores de Equipo de Computo</v>
          </cell>
          <cell r="C118" t="str">
            <v>S</v>
          </cell>
        </row>
        <row r="119">
          <cell r="A119">
            <v>295000</v>
          </cell>
          <cell r="B119" t="str">
            <v>Refacciones y accesorios menores de equipo e instrumental médico y de laboratorio</v>
          </cell>
          <cell r="C119" t="str">
            <v>N</v>
          </cell>
        </row>
        <row r="120">
          <cell r="A120">
            <v>295001</v>
          </cell>
          <cell r="B120" t="str">
            <v>Refacciones y accesorios menores de equipo e instrumental médico y de laboratorio</v>
          </cell>
          <cell r="C120" t="str">
            <v>S</v>
          </cell>
        </row>
        <row r="121">
          <cell r="A121">
            <v>296000</v>
          </cell>
          <cell r="B121" t="str">
            <v>Refacciones y accesorios menores de equipo de transporte</v>
          </cell>
          <cell r="C121" t="str">
            <v>N</v>
          </cell>
        </row>
        <row r="122">
          <cell r="A122">
            <v>296001</v>
          </cell>
          <cell r="B122" t="str">
            <v>Herramientas, refacciones y accesorios</v>
          </cell>
          <cell r="C122" t="str">
            <v>S</v>
          </cell>
        </row>
        <row r="123">
          <cell r="A123">
            <v>297000</v>
          </cell>
          <cell r="B123" t="str">
            <v>Refacciones y accesorios menores de equipo de defensa y seguridad</v>
          </cell>
          <cell r="C123" t="str">
            <v>N</v>
          </cell>
        </row>
        <row r="124">
          <cell r="A124">
            <v>297001</v>
          </cell>
          <cell r="B124" t="str">
            <v>Refacciones y accesorios menores de equipo de defensa y seguridad</v>
          </cell>
          <cell r="C124" t="str">
            <v>S</v>
          </cell>
        </row>
        <row r="125">
          <cell r="A125">
            <v>298000</v>
          </cell>
          <cell r="B125" t="str">
            <v>Refacciones y accesorios menores de maquinaria y otros equipos</v>
          </cell>
          <cell r="C125" t="str">
            <v>N</v>
          </cell>
        </row>
        <row r="126">
          <cell r="A126">
            <v>298001</v>
          </cell>
          <cell r="B126" t="str">
            <v>Refacciones y accesorios menores de maquinaria y otros equipos</v>
          </cell>
          <cell r="C126" t="str">
            <v>S</v>
          </cell>
        </row>
        <row r="127">
          <cell r="A127">
            <v>299000</v>
          </cell>
          <cell r="B127" t="str">
            <v>Refacciones y accesorios menores otros bienes muebles</v>
          </cell>
          <cell r="C127" t="str">
            <v>N</v>
          </cell>
        </row>
        <row r="128">
          <cell r="A128">
            <v>299001</v>
          </cell>
          <cell r="B128" t="str">
            <v>Refacciones y accesorios menores otros bienes muebles</v>
          </cell>
          <cell r="C128" t="str">
            <v>S</v>
          </cell>
        </row>
        <row r="129">
          <cell r="A129">
            <v>300000</v>
          </cell>
          <cell r="B129" t="str">
            <v>SERVICIOS GENERALES</v>
          </cell>
          <cell r="C129" t="str">
            <v>N</v>
          </cell>
        </row>
        <row r="130">
          <cell r="A130">
            <v>310000</v>
          </cell>
          <cell r="B130" t="str">
            <v>SERVICIOS BÁSICOS</v>
          </cell>
          <cell r="C130" t="str">
            <v>N</v>
          </cell>
        </row>
        <row r="131">
          <cell r="A131">
            <v>311000</v>
          </cell>
          <cell r="B131" t="str">
            <v>Energía eléctrica</v>
          </cell>
          <cell r="C131" t="str">
            <v>N</v>
          </cell>
        </row>
        <row r="132">
          <cell r="A132">
            <v>311001</v>
          </cell>
          <cell r="B132" t="str">
            <v>Servicio de energía eléctrica</v>
          </cell>
          <cell r="C132" t="str">
            <v>S</v>
          </cell>
        </row>
        <row r="133">
          <cell r="A133">
            <v>311002</v>
          </cell>
          <cell r="B133" t="str">
            <v>Contratación del servicio de energía eléctrica</v>
          </cell>
          <cell r="C133" t="str">
            <v>S</v>
          </cell>
        </row>
        <row r="134">
          <cell r="A134">
            <v>312000</v>
          </cell>
          <cell r="B134" t="str">
            <v>Gas</v>
          </cell>
          <cell r="C134" t="str">
            <v>N</v>
          </cell>
        </row>
        <row r="135">
          <cell r="A135">
            <v>312001</v>
          </cell>
          <cell r="B135" t="str">
            <v>Servicio de Gas L.P.</v>
          </cell>
          <cell r="C135" t="str">
            <v>S</v>
          </cell>
        </row>
        <row r="136">
          <cell r="A136">
            <v>313000</v>
          </cell>
          <cell r="B136" t="str">
            <v>Agua</v>
          </cell>
          <cell r="C136" t="str">
            <v>N</v>
          </cell>
        </row>
        <row r="137">
          <cell r="A137">
            <v>313001</v>
          </cell>
          <cell r="B137" t="str">
            <v>Servicio de agua potable</v>
          </cell>
          <cell r="C137" t="str">
            <v>S</v>
          </cell>
        </row>
        <row r="138">
          <cell r="A138">
            <v>313002</v>
          </cell>
          <cell r="B138" t="str">
            <v>Contratación del servicio de agua potable</v>
          </cell>
          <cell r="C138" t="str">
            <v>S</v>
          </cell>
        </row>
        <row r="139">
          <cell r="A139">
            <v>314000</v>
          </cell>
          <cell r="B139" t="str">
            <v>Telefonía tradicional</v>
          </cell>
          <cell r="C139" t="str">
            <v>N</v>
          </cell>
        </row>
        <row r="140">
          <cell r="A140">
            <v>314001</v>
          </cell>
          <cell r="B140" t="str">
            <v>Servicio telefónico</v>
          </cell>
          <cell r="C140" t="str">
            <v>S</v>
          </cell>
        </row>
        <row r="141">
          <cell r="A141">
            <v>315000</v>
          </cell>
          <cell r="B141" t="str">
            <v>Telefonía celular</v>
          </cell>
          <cell r="C141" t="str">
            <v>N</v>
          </cell>
        </row>
        <row r="142">
          <cell r="A142">
            <v>315001</v>
          </cell>
          <cell r="B142" t="str">
            <v>Telefonía celular</v>
          </cell>
          <cell r="C142" t="str">
            <v>S</v>
          </cell>
        </row>
        <row r="143">
          <cell r="A143">
            <v>316000</v>
          </cell>
          <cell r="B143" t="str">
            <v>Servicios de telecomunicaciones y satélites</v>
          </cell>
          <cell r="C143" t="str">
            <v>N</v>
          </cell>
        </row>
        <row r="144">
          <cell r="A144">
            <v>316001</v>
          </cell>
          <cell r="B144" t="str">
            <v>Servicios de telecomunicaciones y satélites</v>
          </cell>
          <cell r="C144" t="str">
            <v>S</v>
          </cell>
        </row>
        <row r="145">
          <cell r="A145">
            <v>317000</v>
          </cell>
          <cell r="B145" t="str">
            <v>Servicios de acceso de Internet, redes y procesamiento de información</v>
          </cell>
          <cell r="C145" t="str">
            <v>N</v>
          </cell>
        </row>
        <row r="146">
          <cell r="A146">
            <v>317001</v>
          </cell>
          <cell r="B146" t="str">
            <v>Servicios de acceso de Internet, redes y procesamiento de información</v>
          </cell>
          <cell r="C146" t="str">
            <v>S</v>
          </cell>
        </row>
        <row r="147">
          <cell r="A147">
            <v>318000</v>
          </cell>
          <cell r="B147" t="str">
            <v>Servicios postales y telegráficos</v>
          </cell>
          <cell r="C147" t="str">
            <v>N</v>
          </cell>
        </row>
        <row r="148">
          <cell r="A148">
            <v>318001</v>
          </cell>
          <cell r="B148" t="str">
            <v>Servicio postal y telegráfico</v>
          </cell>
          <cell r="C148" t="str">
            <v>S</v>
          </cell>
        </row>
        <row r="149">
          <cell r="A149">
            <v>319000</v>
          </cell>
          <cell r="B149" t="str">
            <v>Servicios integrales y otros servicios</v>
          </cell>
          <cell r="C149" t="str">
            <v>N</v>
          </cell>
        </row>
        <row r="150">
          <cell r="A150">
            <v>319001</v>
          </cell>
          <cell r="B150" t="str">
            <v>Servicios Integrales</v>
          </cell>
          <cell r="C150" t="str">
            <v>S</v>
          </cell>
        </row>
        <row r="151">
          <cell r="A151">
            <v>320000</v>
          </cell>
          <cell r="B151" t="str">
            <v>SERVICIOS DE ARRENDAMIENTO</v>
          </cell>
          <cell r="C151" t="str">
            <v>N</v>
          </cell>
        </row>
        <row r="152">
          <cell r="A152">
            <v>321000</v>
          </cell>
          <cell r="B152" t="str">
            <v>Arrendamiento de terrenos</v>
          </cell>
          <cell r="C152" t="str">
            <v>N</v>
          </cell>
        </row>
        <row r="153">
          <cell r="A153">
            <v>321001</v>
          </cell>
          <cell r="B153" t="str">
            <v>Arrendamiento de terrenos</v>
          </cell>
          <cell r="C153" t="str">
            <v>S</v>
          </cell>
        </row>
        <row r="154">
          <cell r="A154">
            <v>322000</v>
          </cell>
          <cell r="B154" t="str">
            <v>Arrendamiento de edificios</v>
          </cell>
          <cell r="C154" t="str">
            <v>N</v>
          </cell>
        </row>
        <row r="155">
          <cell r="A155">
            <v>322001</v>
          </cell>
          <cell r="B155" t="str">
            <v>Arrendamiento de edificios</v>
          </cell>
          <cell r="C155" t="str">
            <v>S</v>
          </cell>
        </row>
        <row r="156">
          <cell r="A156">
            <v>323000</v>
          </cell>
          <cell r="B156" t="str">
            <v>Arrendamiento de mobiliario y equipo de administración, educacional y recreativo</v>
          </cell>
          <cell r="C156" t="str">
            <v>N</v>
          </cell>
        </row>
        <row r="157">
          <cell r="A157">
            <v>323001</v>
          </cell>
          <cell r="B157" t="str">
            <v>Arrendamiento de maquinaria y equipo</v>
          </cell>
          <cell r="C157" t="str">
            <v>S</v>
          </cell>
        </row>
        <row r="158">
          <cell r="A158">
            <v>323002</v>
          </cell>
          <cell r="B158" t="str">
            <v>Arrendamiento de maquinaria y equipo de Administración</v>
          </cell>
          <cell r="C158" t="str">
            <v>S</v>
          </cell>
        </row>
        <row r="159">
          <cell r="A159">
            <v>323003</v>
          </cell>
          <cell r="B159" t="str">
            <v>Arrendamiento de Equipo Educacional y Recreativo</v>
          </cell>
          <cell r="C159" t="str">
            <v>S</v>
          </cell>
        </row>
        <row r="160">
          <cell r="A160">
            <v>323004</v>
          </cell>
          <cell r="B160" t="str">
            <v>Arrendamiento de Mobiliario y Equipo</v>
          </cell>
          <cell r="C160" t="str">
            <v>S</v>
          </cell>
        </row>
        <row r="161">
          <cell r="A161">
            <v>324000</v>
          </cell>
          <cell r="B161" t="str">
            <v>Arrendamiento de equipo e instrumental médico y de laboratorio</v>
          </cell>
          <cell r="C161" t="str">
            <v>N</v>
          </cell>
        </row>
        <row r="162">
          <cell r="A162">
            <v>324001</v>
          </cell>
          <cell r="B162" t="str">
            <v>Arrendamiento de equipo e instrumental médico y de laboratorio</v>
          </cell>
          <cell r="C162" t="str">
            <v>S</v>
          </cell>
        </row>
        <row r="163">
          <cell r="A163">
            <v>325000</v>
          </cell>
          <cell r="B163" t="str">
            <v>Arrendamiento de equipo de transporte</v>
          </cell>
          <cell r="C163" t="str">
            <v>N</v>
          </cell>
        </row>
        <row r="164">
          <cell r="A164">
            <v>325001</v>
          </cell>
          <cell r="B164" t="str">
            <v>Arrendamiento de equipo de transporte</v>
          </cell>
          <cell r="C164" t="str">
            <v>S</v>
          </cell>
        </row>
        <row r="165">
          <cell r="A165">
            <v>326000</v>
          </cell>
          <cell r="B165" t="str">
            <v>Arrendamiento de maquinaria, otros equipos y herramientas</v>
          </cell>
          <cell r="C165" t="str">
            <v>N</v>
          </cell>
        </row>
        <row r="166">
          <cell r="A166">
            <v>326001</v>
          </cell>
          <cell r="B166" t="str">
            <v>Arrendamiento de maquinaria, otros equipos y herramientas</v>
          </cell>
          <cell r="C166" t="str">
            <v>S</v>
          </cell>
        </row>
        <row r="167">
          <cell r="A167">
            <v>327000</v>
          </cell>
          <cell r="B167" t="str">
            <v>Arrendamiento de activos intangibles</v>
          </cell>
          <cell r="C167" t="str">
            <v>N</v>
          </cell>
        </row>
        <row r="168">
          <cell r="A168">
            <v>327001</v>
          </cell>
          <cell r="B168" t="str">
            <v>Arrendamiento de activos intangibles</v>
          </cell>
          <cell r="C168" t="str">
            <v>S</v>
          </cell>
        </row>
        <row r="169">
          <cell r="A169">
            <v>328000</v>
          </cell>
          <cell r="B169" t="str">
            <v>Arrendamiento financiero</v>
          </cell>
          <cell r="C169" t="str">
            <v>N</v>
          </cell>
        </row>
        <row r="170">
          <cell r="A170">
            <v>328001</v>
          </cell>
          <cell r="B170" t="str">
            <v>Arrendamiento financiero</v>
          </cell>
          <cell r="C170" t="str">
            <v>S</v>
          </cell>
        </row>
        <row r="171">
          <cell r="A171">
            <v>328002</v>
          </cell>
          <cell r="B171" t="str">
            <v>Programa Estatal de Arrendamiento Vehicular</v>
          </cell>
          <cell r="C171" t="str">
            <v>S</v>
          </cell>
        </row>
        <row r="172">
          <cell r="A172">
            <v>329000</v>
          </cell>
          <cell r="B172" t="str">
            <v>Otros arrendamientos</v>
          </cell>
          <cell r="C172" t="str">
            <v>N</v>
          </cell>
        </row>
        <row r="173">
          <cell r="A173">
            <v>329001</v>
          </cell>
          <cell r="B173" t="str">
            <v>Arrendamientos especiales</v>
          </cell>
          <cell r="C173" t="str">
            <v>S</v>
          </cell>
        </row>
        <row r="174">
          <cell r="A174">
            <v>330000</v>
          </cell>
          <cell r="B174" t="str">
            <v>SERVICIOS PROFESIONALES, CIENTÍFICOS, TÉCNICOS Y OTROS SERVICIOS</v>
          </cell>
          <cell r="C174" t="str">
            <v>N</v>
          </cell>
        </row>
        <row r="175">
          <cell r="A175">
            <v>331000</v>
          </cell>
          <cell r="B175" t="str">
            <v>Servicios legales, de contabilidad, auditoría y relacionados</v>
          </cell>
          <cell r="C175" t="str">
            <v>N</v>
          </cell>
        </row>
        <row r="176">
          <cell r="A176">
            <v>331001</v>
          </cell>
          <cell r="B176" t="str">
            <v>Asesorías</v>
          </cell>
          <cell r="C176" t="str">
            <v>S</v>
          </cell>
        </row>
        <row r="177">
          <cell r="A177">
            <v>331002</v>
          </cell>
          <cell r="B177" t="str">
            <v>Servicios Notariales</v>
          </cell>
          <cell r="C177" t="str">
            <v>S</v>
          </cell>
        </row>
        <row r="178">
          <cell r="A178">
            <v>331003</v>
          </cell>
          <cell r="B178" t="str">
            <v>Consultoría y Gestión</v>
          </cell>
          <cell r="C178" t="str">
            <v>S</v>
          </cell>
        </row>
        <row r="179">
          <cell r="A179">
            <v>332000</v>
          </cell>
          <cell r="B179" t="str">
            <v>Servicios de diseño, arquitectura, ingeniería y actividades relacionadas</v>
          </cell>
          <cell r="C179" t="str">
            <v>N</v>
          </cell>
        </row>
        <row r="180">
          <cell r="A180">
            <v>332001</v>
          </cell>
          <cell r="B180" t="str">
            <v>Servicios de diseño, arquitectura, ingeniería y actividades relacionadas</v>
          </cell>
          <cell r="C180" t="str">
            <v>S</v>
          </cell>
        </row>
        <row r="181">
          <cell r="A181">
            <v>333000</v>
          </cell>
          <cell r="B181" t="str">
            <v>Servicios de consultoría administrativa, procesos, técnica y en tecnologías de la información</v>
          </cell>
          <cell r="C181" t="str">
            <v>N</v>
          </cell>
        </row>
        <row r="182">
          <cell r="A182">
            <v>333001</v>
          </cell>
          <cell r="B182" t="str">
            <v>Estudios e investigaciones</v>
          </cell>
          <cell r="C182" t="str">
            <v>S</v>
          </cell>
        </row>
        <row r="183">
          <cell r="A183">
            <v>333002</v>
          </cell>
          <cell r="B183" t="str">
            <v>Sistematización de la Armonización Contable y Presupuestal</v>
          </cell>
          <cell r="C183" t="str">
            <v>S</v>
          </cell>
        </row>
        <row r="184">
          <cell r="A184">
            <v>333003</v>
          </cell>
          <cell r="B184" t="str">
            <v>Servicios de consultoría administrativa, procesos, técnica y en tecnologías de la información</v>
          </cell>
          <cell r="C184" t="str">
            <v>S</v>
          </cell>
        </row>
        <row r="185">
          <cell r="A185">
            <v>334000</v>
          </cell>
          <cell r="B185" t="str">
            <v>Servicios de capacitación</v>
          </cell>
          <cell r="C185" t="str">
            <v>N</v>
          </cell>
        </row>
        <row r="186">
          <cell r="A186">
            <v>334001</v>
          </cell>
          <cell r="B186" t="str">
            <v>Cuotas e inscripciones</v>
          </cell>
          <cell r="C186" t="str">
            <v>S</v>
          </cell>
        </row>
        <row r="187">
          <cell r="A187">
            <v>334002</v>
          </cell>
          <cell r="B187" t="str">
            <v>Servicios de Capacitación</v>
          </cell>
          <cell r="C187" t="str">
            <v>S</v>
          </cell>
        </row>
        <row r="188">
          <cell r="A188">
            <v>335000</v>
          </cell>
          <cell r="B188" t="str">
            <v>Servicios de investigación científica y desarrollo</v>
          </cell>
          <cell r="C188" t="str">
            <v>N</v>
          </cell>
        </row>
        <row r="189">
          <cell r="A189">
            <v>335001</v>
          </cell>
          <cell r="B189" t="str">
            <v>Servicios de investigación científica y desarrollo</v>
          </cell>
          <cell r="C189" t="str">
            <v>S</v>
          </cell>
        </row>
        <row r="190">
          <cell r="A190">
            <v>336000</v>
          </cell>
          <cell r="B190" t="str">
            <v>Servicios de apoyo administrativo, traducción, fotocopiado e impresión</v>
          </cell>
          <cell r="C190" t="str">
            <v>N</v>
          </cell>
        </row>
        <row r="191">
          <cell r="A191">
            <v>336001</v>
          </cell>
          <cell r="B191" t="str">
            <v>Servicio de Fotocopiado, Enmicado y Encuadernación de Documentos.</v>
          </cell>
          <cell r="C191" t="str">
            <v>S</v>
          </cell>
        </row>
        <row r="192">
          <cell r="A192">
            <v>336002</v>
          </cell>
          <cell r="B192" t="str">
            <v>Servicio de Impresión y Elaboración de Material Informativo</v>
          </cell>
          <cell r="C192" t="str">
            <v>S</v>
          </cell>
        </row>
        <row r="193">
          <cell r="A193">
            <v>337000</v>
          </cell>
          <cell r="B193" t="str">
            <v>Servicios de protección y seguridad</v>
          </cell>
          <cell r="C193" t="str">
            <v>N</v>
          </cell>
        </row>
        <row r="194">
          <cell r="A194">
            <v>337001</v>
          </cell>
          <cell r="B194" t="str">
            <v>Dispositivo de seguridad pública</v>
          </cell>
          <cell r="C194" t="str">
            <v>S</v>
          </cell>
        </row>
        <row r="195">
          <cell r="A195">
            <v>338000</v>
          </cell>
          <cell r="B195" t="str">
            <v>Servicios de vigilancia</v>
          </cell>
          <cell r="C195" t="str">
            <v>N</v>
          </cell>
        </row>
        <row r="196">
          <cell r="A196">
            <v>338001</v>
          </cell>
          <cell r="B196" t="str">
            <v>Servicio de seguridad privada</v>
          </cell>
          <cell r="C196" t="str">
            <v>S</v>
          </cell>
        </row>
        <row r="197">
          <cell r="A197">
            <v>339000</v>
          </cell>
          <cell r="B197" t="str">
            <v>Servicios profesionales, científicos y técnicos integrales</v>
          </cell>
          <cell r="C197" t="str">
            <v>N</v>
          </cell>
        </row>
        <row r="198">
          <cell r="A198">
            <v>339001</v>
          </cell>
          <cell r="B198" t="str">
            <v>Servicios profesionales, científicos y técnicos integrales</v>
          </cell>
          <cell r="C198" t="str">
            <v>S</v>
          </cell>
        </row>
        <row r="199">
          <cell r="A199">
            <v>340000</v>
          </cell>
          <cell r="B199" t="str">
            <v>SERVICIOS FINANCIEROS, BANCARIOS Y COMERCIALES</v>
          </cell>
          <cell r="C199" t="str">
            <v>N</v>
          </cell>
        </row>
        <row r="200">
          <cell r="A200">
            <v>341000</v>
          </cell>
          <cell r="B200" t="str">
            <v>Servicios financieros y bancarios</v>
          </cell>
          <cell r="C200" t="str">
            <v>N</v>
          </cell>
        </row>
        <row r="201">
          <cell r="A201">
            <v>341001</v>
          </cell>
          <cell r="B201" t="str">
            <v>Comisiones, descuentos y otros servicios bancarios</v>
          </cell>
          <cell r="C201" t="str">
            <v>S</v>
          </cell>
        </row>
        <row r="202">
          <cell r="A202">
            <v>342000</v>
          </cell>
          <cell r="B202" t="str">
            <v>Servicios de cobranza, investigación crediticia y similar</v>
          </cell>
          <cell r="C202" t="str">
            <v>N</v>
          </cell>
        </row>
        <row r="203">
          <cell r="A203">
            <v>342001</v>
          </cell>
          <cell r="B203" t="str">
            <v>Servicios de cobranza, investigación crediticia y similar</v>
          </cell>
          <cell r="C203" t="str">
            <v>S</v>
          </cell>
        </row>
        <row r="204">
          <cell r="A204">
            <v>343000</v>
          </cell>
          <cell r="B204" t="str">
            <v>Servicios de recaudación, traslado y custodia de valores</v>
          </cell>
          <cell r="C204" t="str">
            <v>N</v>
          </cell>
        </row>
        <row r="205">
          <cell r="A205">
            <v>343001</v>
          </cell>
          <cell r="B205" t="str">
            <v>Servicios de recaudación, traslado y custodia de valores</v>
          </cell>
          <cell r="C205" t="str">
            <v>S</v>
          </cell>
        </row>
        <row r="206">
          <cell r="A206">
            <v>344000</v>
          </cell>
          <cell r="B206" t="str">
            <v>Seguros de responsabilidad patrimonial y fianzas</v>
          </cell>
          <cell r="C206" t="str">
            <v>N</v>
          </cell>
        </row>
        <row r="207">
          <cell r="A207">
            <v>344001</v>
          </cell>
          <cell r="B207" t="str">
            <v>Seguros de responsabilidad patrimonial y fianzas</v>
          </cell>
          <cell r="C207" t="str">
            <v>S</v>
          </cell>
        </row>
        <row r="208">
          <cell r="A208">
            <v>345000</v>
          </cell>
          <cell r="B208" t="str">
            <v>Seguro de bienes patrimoniales</v>
          </cell>
          <cell r="C208" t="str">
            <v>N</v>
          </cell>
        </row>
        <row r="209">
          <cell r="A209">
            <v>345001</v>
          </cell>
          <cell r="B209" t="str">
            <v>Seguros</v>
          </cell>
          <cell r="C209" t="str">
            <v>S</v>
          </cell>
        </row>
        <row r="210">
          <cell r="A210">
            <v>346000</v>
          </cell>
          <cell r="B210" t="str">
            <v>Almacenaje, envase y embalaje</v>
          </cell>
          <cell r="C210" t="str">
            <v>N</v>
          </cell>
        </row>
        <row r="211">
          <cell r="A211">
            <v>346001</v>
          </cell>
          <cell r="B211" t="str">
            <v>Almacenaje, envase y embalaje</v>
          </cell>
          <cell r="C211" t="str">
            <v>S</v>
          </cell>
        </row>
        <row r="212">
          <cell r="A212">
            <v>347000</v>
          </cell>
          <cell r="B212" t="str">
            <v>Fletes y maniobras</v>
          </cell>
          <cell r="C212" t="str">
            <v>N</v>
          </cell>
        </row>
        <row r="213">
          <cell r="A213">
            <v>347001</v>
          </cell>
          <cell r="B213" t="str">
            <v>Fletes, maniobras y almacenaje</v>
          </cell>
          <cell r="C213" t="str">
            <v>S</v>
          </cell>
        </row>
        <row r="214">
          <cell r="A214">
            <v>348000</v>
          </cell>
          <cell r="B214" t="str">
            <v>Comisiones por ventas</v>
          </cell>
          <cell r="C214" t="str">
            <v>N</v>
          </cell>
        </row>
        <row r="215">
          <cell r="A215">
            <v>348001</v>
          </cell>
          <cell r="B215" t="str">
            <v>Comisiones por ventas</v>
          </cell>
          <cell r="C215" t="str">
            <v>S</v>
          </cell>
        </row>
        <row r="216">
          <cell r="A216">
            <v>349000</v>
          </cell>
          <cell r="B216" t="str">
            <v>Servicios financieros, bancarios y comerciales integrales</v>
          </cell>
          <cell r="C216" t="str">
            <v>N</v>
          </cell>
        </row>
        <row r="217">
          <cell r="A217">
            <v>349001</v>
          </cell>
          <cell r="B217" t="str">
            <v>Servicios financieros, bancarios y comerciales integrales</v>
          </cell>
          <cell r="C217" t="str">
            <v>S</v>
          </cell>
        </row>
        <row r="218">
          <cell r="A218">
            <v>350000</v>
          </cell>
          <cell r="B218" t="str">
            <v>SERVICIOS DE INSTALACIÓN, REPARACIÓN, MANTENIMIENTO Y CONSERVACIÓN</v>
          </cell>
          <cell r="C218" t="str">
            <v>N</v>
          </cell>
        </row>
        <row r="219">
          <cell r="A219">
            <v>351000</v>
          </cell>
          <cell r="B219" t="str">
            <v>Conservación y mantenimiento menor de inmuebles</v>
          </cell>
          <cell r="C219" t="str">
            <v>N</v>
          </cell>
        </row>
        <row r="220">
          <cell r="A220">
            <v>351001</v>
          </cell>
          <cell r="B220" t="str">
            <v>Mantenimiento de inmuebles</v>
          </cell>
          <cell r="C220" t="str">
            <v>S</v>
          </cell>
        </row>
        <row r="221">
          <cell r="A221">
            <v>351002</v>
          </cell>
          <cell r="B221" t="str">
            <v>Fumigación de Inmuebles</v>
          </cell>
          <cell r="C221" t="str">
            <v>S</v>
          </cell>
        </row>
        <row r="222">
          <cell r="A222">
            <v>351003</v>
          </cell>
          <cell r="B222" t="str">
            <v>Mantto. y Conserv. de Inmuebles Sub Proc. Zona Norte</v>
          </cell>
          <cell r="C222" t="str">
            <v>S</v>
          </cell>
        </row>
        <row r="223">
          <cell r="A223">
            <v>352000</v>
          </cell>
          <cell r="B223" t="str">
            <v>Instalación, reparación y mantenimiento de mobiliario y equipo de administración, educacional y recreativo</v>
          </cell>
          <cell r="C223" t="str">
            <v>N</v>
          </cell>
        </row>
        <row r="224">
          <cell r="A224">
            <v>352001</v>
          </cell>
          <cell r="B224" t="str">
            <v>Mantenimiento de mobiliario y equipo</v>
          </cell>
          <cell r="C224" t="str">
            <v>S</v>
          </cell>
        </row>
        <row r="225">
          <cell r="A225">
            <v>352002</v>
          </cell>
          <cell r="B225" t="str">
            <v>Gastos de instalación</v>
          </cell>
          <cell r="C225" t="str">
            <v>S</v>
          </cell>
        </row>
        <row r="226">
          <cell r="A226">
            <v>352003</v>
          </cell>
          <cell r="B226" t="str">
            <v>Mantto. y Conservación Archivo General de Notarias del Gob. del Edo.</v>
          </cell>
          <cell r="C226" t="str">
            <v>S</v>
          </cell>
        </row>
        <row r="227">
          <cell r="A227">
            <v>353000</v>
          </cell>
          <cell r="B227" t="str">
            <v>Instalación, reparación y mantenimiento de equipo de cómputo y tecnología de la información</v>
          </cell>
          <cell r="C227" t="str">
            <v>N</v>
          </cell>
        </row>
        <row r="228">
          <cell r="A228">
            <v>353001</v>
          </cell>
          <cell r="B228" t="str">
            <v>Instalación, reparación y mantenimiento de equipo de cómputo y tecnología  de la información</v>
          </cell>
          <cell r="C228" t="str">
            <v>S</v>
          </cell>
        </row>
        <row r="229">
          <cell r="A229">
            <v>354000</v>
          </cell>
          <cell r="B229" t="str">
            <v>Instalación, reparación y mantenimiento de equipo e instrumental médico y de laboratorio</v>
          </cell>
          <cell r="C229" t="str">
            <v>N</v>
          </cell>
        </row>
        <row r="230">
          <cell r="A230">
            <v>354001</v>
          </cell>
          <cell r="B230" t="str">
            <v>Instalación, reparación y mantenimiento de equipo e instrumental médico y de laboratorio</v>
          </cell>
          <cell r="C230" t="str">
            <v>S</v>
          </cell>
        </row>
        <row r="231">
          <cell r="A231">
            <v>355000</v>
          </cell>
          <cell r="B231" t="str">
            <v>Reparación y mantenimiento de equipo de transporte</v>
          </cell>
          <cell r="C231" t="str">
            <v>N</v>
          </cell>
        </row>
        <row r="232">
          <cell r="A232">
            <v>355001</v>
          </cell>
          <cell r="B232" t="str">
            <v>Mantto. y conservación de vehículos terrestres, aéreos, marítimos, lacustres y fluviales</v>
          </cell>
          <cell r="C232" t="str">
            <v>S</v>
          </cell>
        </row>
        <row r="233">
          <cell r="A233">
            <v>356000</v>
          </cell>
          <cell r="B233" t="str">
            <v>Reparación y mantenimiento de equipo de defensa y seguridad</v>
          </cell>
          <cell r="C233" t="str">
            <v>N</v>
          </cell>
        </row>
        <row r="234">
          <cell r="A234">
            <v>356001</v>
          </cell>
          <cell r="B234" t="str">
            <v>Reparación y mantenimiento de equipo de defensa y seguridad</v>
          </cell>
          <cell r="C234" t="str">
            <v>S</v>
          </cell>
        </row>
        <row r="235">
          <cell r="A235">
            <v>357000</v>
          </cell>
          <cell r="B235" t="str">
            <v>Instalación, reparación y mantenimiento de maquinaria, otros equipos y herramienta</v>
          </cell>
          <cell r="C235" t="str">
            <v>N</v>
          </cell>
        </row>
        <row r="236">
          <cell r="A236">
            <v>357001</v>
          </cell>
          <cell r="B236" t="str">
            <v>Instalación, reparación y mantenimiento de Equipo de Telecomunicaciones</v>
          </cell>
          <cell r="C236" t="str">
            <v>S</v>
          </cell>
        </row>
        <row r="237">
          <cell r="A237">
            <v>357002</v>
          </cell>
          <cell r="B237" t="str">
            <v>Instalación, reparación y mantenimiento de maquinaria, otros equipos y herramienta</v>
          </cell>
          <cell r="C237" t="str">
            <v>S</v>
          </cell>
        </row>
        <row r="238">
          <cell r="A238">
            <v>358000</v>
          </cell>
          <cell r="B238" t="str">
            <v>Servicios de limpieza y manejo de desechos</v>
          </cell>
          <cell r="C238" t="str">
            <v>N</v>
          </cell>
        </row>
        <row r="239">
          <cell r="A239">
            <v>358001</v>
          </cell>
          <cell r="B239" t="str">
            <v>Servicios de higiene y limpieza</v>
          </cell>
          <cell r="C239" t="str">
            <v>S</v>
          </cell>
        </row>
        <row r="240">
          <cell r="A240">
            <v>358002</v>
          </cell>
          <cell r="B240" t="str">
            <v>Servicios de Limpieza y Lavado de Vehículos</v>
          </cell>
          <cell r="C240" t="str">
            <v>S</v>
          </cell>
        </row>
        <row r="241">
          <cell r="A241">
            <v>358003</v>
          </cell>
          <cell r="B241" t="str">
            <v>Servicios de Lavandería</v>
          </cell>
          <cell r="C241" t="str">
            <v>S</v>
          </cell>
        </row>
        <row r="242">
          <cell r="A242">
            <v>359000</v>
          </cell>
          <cell r="B242" t="str">
            <v>Servicios de jardinería y fumigación</v>
          </cell>
          <cell r="C242" t="str">
            <v>N</v>
          </cell>
        </row>
        <row r="243">
          <cell r="A243">
            <v>359001</v>
          </cell>
          <cell r="B243" t="str">
            <v>Árboles, plantas, semillas y abonos</v>
          </cell>
          <cell r="C243" t="str">
            <v>S</v>
          </cell>
        </row>
        <row r="244">
          <cell r="A244">
            <v>359002</v>
          </cell>
          <cell r="B244" t="str">
            <v>Fumigación de áreas verdes</v>
          </cell>
          <cell r="C244" t="str">
            <v>S</v>
          </cell>
        </row>
        <row r="245">
          <cell r="A245">
            <v>360000</v>
          </cell>
          <cell r="B245" t="str">
            <v>SERVICIOS DE COMUNICACIÓN SOCIAL Y PUBLICIDAD</v>
          </cell>
          <cell r="C245" t="str">
            <v>N</v>
          </cell>
        </row>
        <row r="246">
          <cell r="A246">
            <v>361000</v>
          </cell>
          <cell r="B246" t="str">
            <v>Difusión por radio, televisión y otros medios de mensajes sobre programas y actividades gubernamentales</v>
          </cell>
          <cell r="C246" t="str">
            <v>N</v>
          </cell>
        </row>
        <row r="247">
          <cell r="A247">
            <v>361001</v>
          </cell>
          <cell r="B247" t="str">
            <v>Gastos de difusión</v>
          </cell>
          <cell r="C247" t="str">
            <v>S</v>
          </cell>
        </row>
        <row r="248">
          <cell r="A248">
            <v>361002</v>
          </cell>
          <cell r="B248" t="str">
            <v>Impresiones y publicaciones oficiales</v>
          </cell>
          <cell r="C248" t="str">
            <v>S</v>
          </cell>
        </row>
        <row r="249">
          <cell r="A249">
            <v>361003</v>
          </cell>
          <cell r="B249" t="str">
            <v>Rotulaciones oficiales</v>
          </cell>
          <cell r="C249" t="str">
            <v>S</v>
          </cell>
        </row>
        <row r="250">
          <cell r="A250">
            <v>361004</v>
          </cell>
          <cell r="B250" t="str">
            <v>Publicación de convocatorias</v>
          </cell>
          <cell r="C250" t="str">
            <v>S</v>
          </cell>
        </row>
        <row r="251">
          <cell r="A251">
            <v>362000</v>
          </cell>
          <cell r="B251" t="str">
            <v>Difusión por radio, televisión y otros medios de mensajes comerciales para promover la venta de bienes o servicios</v>
          </cell>
          <cell r="C251" t="str">
            <v>N</v>
          </cell>
        </row>
        <row r="252">
          <cell r="A252">
            <v>362001</v>
          </cell>
          <cell r="B252" t="str">
            <v>Difusión por radio, televisión y otros medios de mensajes comerciales para promover la venta de bienes o servicios</v>
          </cell>
          <cell r="C252" t="str">
            <v>S</v>
          </cell>
        </row>
        <row r="253">
          <cell r="A253">
            <v>362002</v>
          </cell>
          <cell r="B253" t="str">
            <v>Difusión por radio, televisión y otros medios de mensajes comerciales para promover la venta de bienes o servicios, fuera del país</v>
          </cell>
          <cell r="C253" t="str">
            <v>S</v>
          </cell>
        </row>
        <row r="254">
          <cell r="A254">
            <v>363000</v>
          </cell>
          <cell r="B254" t="str">
            <v>Servicios de creatividad, preproducción y producción de publicidad, excepto Internet</v>
          </cell>
          <cell r="C254" t="str">
            <v>N</v>
          </cell>
        </row>
        <row r="255">
          <cell r="A255">
            <v>363001</v>
          </cell>
          <cell r="B255" t="str">
            <v>Servicios de Producción y Diseño Publicitario</v>
          </cell>
          <cell r="C255" t="str">
            <v>S</v>
          </cell>
        </row>
        <row r="256">
          <cell r="A256">
            <v>364000</v>
          </cell>
          <cell r="B256" t="str">
            <v>Servicios de revelado de fotografías</v>
          </cell>
          <cell r="C256" t="str">
            <v>N</v>
          </cell>
        </row>
        <row r="257">
          <cell r="A257">
            <v>364001</v>
          </cell>
          <cell r="B257" t="str">
            <v>Revelado de Fotografías</v>
          </cell>
          <cell r="C257" t="str">
            <v>S</v>
          </cell>
        </row>
        <row r="258">
          <cell r="A258">
            <v>365000</v>
          </cell>
          <cell r="B258" t="str">
            <v>Servicios de la industria fílmica, del sonido y del video</v>
          </cell>
          <cell r="C258" t="str">
            <v>N</v>
          </cell>
        </row>
        <row r="259">
          <cell r="A259">
            <v>365001</v>
          </cell>
          <cell r="B259" t="str">
            <v>Servicios de la industria fílmica, del sonido y del video</v>
          </cell>
          <cell r="C259" t="str">
            <v>S</v>
          </cell>
        </row>
        <row r="260">
          <cell r="A260">
            <v>366000</v>
          </cell>
          <cell r="B260" t="str">
            <v>Servicio de creación y difusión de contenido exclusivamente a través de Internet</v>
          </cell>
          <cell r="C260" t="str">
            <v>N</v>
          </cell>
        </row>
        <row r="261">
          <cell r="A261">
            <v>366001</v>
          </cell>
          <cell r="B261" t="str">
            <v>Gastos de difusión a través de internet</v>
          </cell>
          <cell r="C261" t="str">
            <v>S</v>
          </cell>
        </row>
        <row r="262">
          <cell r="A262">
            <v>369000</v>
          </cell>
          <cell r="B262" t="str">
            <v>Otros servicios de información</v>
          </cell>
          <cell r="C262" t="str">
            <v>N</v>
          </cell>
        </row>
        <row r="263">
          <cell r="A263">
            <v>369001</v>
          </cell>
          <cell r="B263" t="str">
            <v>Monitoreo de Información y Encuestas</v>
          </cell>
          <cell r="C263" t="str">
            <v>S</v>
          </cell>
        </row>
        <row r="264">
          <cell r="A264">
            <v>370000</v>
          </cell>
          <cell r="B264" t="str">
            <v>SERVICIOS DE TRASLADO Y VIÁTICOS</v>
          </cell>
          <cell r="C264" t="str">
            <v>N</v>
          </cell>
        </row>
        <row r="265">
          <cell r="A265">
            <v>371000</v>
          </cell>
          <cell r="B265" t="str">
            <v>Pasajes aéreos</v>
          </cell>
          <cell r="C265" t="str">
            <v>N</v>
          </cell>
        </row>
        <row r="266">
          <cell r="A266">
            <v>371001</v>
          </cell>
          <cell r="B266" t="str">
            <v>Pasajes aéreos</v>
          </cell>
          <cell r="C266" t="str">
            <v>S</v>
          </cell>
        </row>
        <row r="267">
          <cell r="A267">
            <v>372000</v>
          </cell>
          <cell r="B267" t="str">
            <v>Pasajes terrestres</v>
          </cell>
          <cell r="C267" t="str">
            <v>N</v>
          </cell>
        </row>
        <row r="268">
          <cell r="A268">
            <v>372001</v>
          </cell>
          <cell r="B268" t="str">
            <v>Pasajes terrestres</v>
          </cell>
          <cell r="C268" t="str">
            <v>S</v>
          </cell>
        </row>
        <row r="269">
          <cell r="A269">
            <v>373000</v>
          </cell>
          <cell r="B269" t="str">
            <v>Pasajes marítimos, lacustres y fluviales</v>
          </cell>
          <cell r="C269" t="str">
            <v>N</v>
          </cell>
        </row>
        <row r="270">
          <cell r="A270">
            <v>373001</v>
          </cell>
          <cell r="B270" t="str">
            <v>Pasajes marítimos</v>
          </cell>
          <cell r="C270" t="str">
            <v>S</v>
          </cell>
        </row>
        <row r="271">
          <cell r="A271">
            <v>374000</v>
          </cell>
          <cell r="B271" t="str">
            <v>Autotransporte</v>
          </cell>
          <cell r="C271" t="str">
            <v>N</v>
          </cell>
        </row>
        <row r="272">
          <cell r="A272">
            <v>374001</v>
          </cell>
          <cell r="B272" t="str">
            <v>Autotransporte</v>
          </cell>
          <cell r="C272" t="str">
            <v>S</v>
          </cell>
        </row>
        <row r="273">
          <cell r="A273">
            <v>375000</v>
          </cell>
          <cell r="B273" t="str">
            <v>Viáticos en el país</v>
          </cell>
          <cell r="C273" t="str">
            <v>N</v>
          </cell>
        </row>
        <row r="274">
          <cell r="A274">
            <v>375001</v>
          </cell>
          <cell r="B274" t="str">
            <v>Viáticos</v>
          </cell>
          <cell r="C274" t="str">
            <v>S</v>
          </cell>
        </row>
        <row r="275">
          <cell r="A275">
            <v>376000</v>
          </cell>
          <cell r="B275" t="str">
            <v>Viáticos en el extranjero</v>
          </cell>
          <cell r="C275" t="str">
            <v>N</v>
          </cell>
        </row>
        <row r="276">
          <cell r="A276">
            <v>376001</v>
          </cell>
          <cell r="B276" t="str">
            <v>Viáticos en el extranjero</v>
          </cell>
          <cell r="C276" t="str">
            <v>S</v>
          </cell>
        </row>
        <row r="277">
          <cell r="A277">
            <v>377000</v>
          </cell>
          <cell r="B277" t="str">
            <v>Gastos de instalación y traslado de menaje</v>
          </cell>
          <cell r="C277" t="str">
            <v>N</v>
          </cell>
        </row>
        <row r="278">
          <cell r="A278">
            <v>377001</v>
          </cell>
          <cell r="B278" t="str">
            <v>Gastos de instalación y traslado de menaje</v>
          </cell>
          <cell r="C278" t="str">
            <v>S</v>
          </cell>
        </row>
        <row r="279">
          <cell r="A279">
            <v>378000</v>
          </cell>
          <cell r="B279" t="str">
            <v>Servicios integrales de traslado y viáticos</v>
          </cell>
          <cell r="C279" t="str">
            <v>N</v>
          </cell>
        </row>
        <row r="280">
          <cell r="A280">
            <v>378001</v>
          </cell>
          <cell r="B280" t="str">
            <v>Diligencias judiciales</v>
          </cell>
          <cell r="C280" t="str">
            <v>S</v>
          </cell>
        </row>
        <row r="281">
          <cell r="A281">
            <v>379000</v>
          </cell>
          <cell r="B281" t="str">
            <v>Otros servicios de traslado y hospedaje</v>
          </cell>
          <cell r="C281" t="str">
            <v>N</v>
          </cell>
        </row>
        <row r="282">
          <cell r="A282">
            <v>379001</v>
          </cell>
          <cell r="B282" t="str">
            <v>Traslado de vehículos</v>
          </cell>
          <cell r="C282" t="str">
            <v>S</v>
          </cell>
        </row>
        <row r="283">
          <cell r="A283">
            <v>379002</v>
          </cell>
          <cell r="B283" t="str">
            <v>Gastos de traslado de personas</v>
          </cell>
          <cell r="C283" t="str">
            <v>S</v>
          </cell>
        </row>
        <row r="284">
          <cell r="A284">
            <v>379003</v>
          </cell>
          <cell r="B284" t="str">
            <v>Hospedaje de personas</v>
          </cell>
          <cell r="C284" t="str">
            <v>S</v>
          </cell>
        </row>
        <row r="285">
          <cell r="A285">
            <v>380000</v>
          </cell>
          <cell r="B285" t="str">
            <v>SERVICIOS OFICIALES</v>
          </cell>
          <cell r="C285" t="str">
            <v>N</v>
          </cell>
        </row>
        <row r="286">
          <cell r="A286">
            <v>381000</v>
          </cell>
          <cell r="B286" t="str">
            <v>Gastos de ceremonial</v>
          </cell>
          <cell r="C286" t="str">
            <v>N</v>
          </cell>
        </row>
        <row r="287">
          <cell r="A287">
            <v>381001</v>
          </cell>
          <cell r="B287" t="str">
            <v>Atención a personalidades nacionales y extranjeras</v>
          </cell>
          <cell r="C287" t="str">
            <v>S</v>
          </cell>
        </row>
        <row r="288">
          <cell r="A288">
            <v>382000</v>
          </cell>
          <cell r="B288" t="str">
            <v>Gastos de orden social y cultural</v>
          </cell>
          <cell r="C288" t="str">
            <v>N</v>
          </cell>
        </row>
        <row r="289">
          <cell r="A289">
            <v>382001</v>
          </cell>
          <cell r="B289" t="str">
            <v>Espectáculos y actividades culturales</v>
          </cell>
          <cell r="C289" t="str">
            <v>S</v>
          </cell>
        </row>
        <row r="290">
          <cell r="A290">
            <v>382002</v>
          </cell>
          <cell r="B290" t="str">
            <v>Gastos de recepción, conmemorativos y de orden social</v>
          </cell>
          <cell r="C290" t="str">
            <v>S</v>
          </cell>
        </row>
        <row r="291">
          <cell r="A291">
            <v>382003</v>
          </cell>
          <cell r="B291" t="str">
            <v>Adaptaciones para eventos sociales y culturales</v>
          </cell>
          <cell r="C291" t="str">
            <v>S</v>
          </cell>
        </row>
        <row r="292">
          <cell r="A292">
            <v>382004</v>
          </cell>
          <cell r="B292" t="str">
            <v>Festividades y Eventos</v>
          </cell>
          <cell r="C292" t="str">
            <v>S</v>
          </cell>
        </row>
        <row r="293">
          <cell r="A293">
            <v>383000</v>
          </cell>
          <cell r="B293" t="str">
            <v>Congresos y convenciones</v>
          </cell>
          <cell r="C293" t="str">
            <v>N</v>
          </cell>
        </row>
        <row r="294">
          <cell r="A294">
            <v>383001</v>
          </cell>
          <cell r="B294" t="str">
            <v>Congresos y convenciones</v>
          </cell>
          <cell r="C294" t="str">
            <v>S</v>
          </cell>
        </row>
        <row r="295">
          <cell r="A295">
            <v>384000</v>
          </cell>
          <cell r="B295" t="str">
            <v>Exposiciones</v>
          </cell>
          <cell r="C295" t="str">
            <v>N</v>
          </cell>
        </row>
        <row r="296">
          <cell r="A296">
            <v>384001</v>
          </cell>
          <cell r="B296" t="str">
            <v>Exposiciones</v>
          </cell>
          <cell r="C296" t="str">
            <v>S</v>
          </cell>
        </row>
        <row r="297">
          <cell r="A297">
            <v>385000</v>
          </cell>
          <cell r="B297" t="str">
            <v>Gastos de representación</v>
          </cell>
          <cell r="C297" t="str">
            <v>N</v>
          </cell>
        </row>
        <row r="298">
          <cell r="A298">
            <v>385001</v>
          </cell>
          <cell r="B298" t="str">
            <v>Gastos de representación</v>
          </cell>
          <cell r="C298" t="str">
            <v>S</v>
          </cell>
        </row>
        <row r="299">
          <cell r="A299">
            <v>390000</v>
          </cell>
          <cell r="B299" t="str">
            <v>OTROS SERVICIOS GENERALES</v>
          </cell>
          <cell r="C299" t="str">
            <v>N</v>
          </cell>
        </row>
        <row r="300">
          <cell r="A300">
            <v>391000</v>
          </cell>
          <cell r="B300" t="str">
            <v>Servicios funerarios y de cementerios</v>
          </cell>
          <cell r="C300" t="str">
            <v>N</v>
          </cell>
        </row>
        <row r="301">
          <cell r="A301">
            <v>391001</v>
          </cell>
          <cell r="B301" t="str">
            <v>Servicios funerarios y de cementerios</v>
          </cell>
          <cell r="C301" t="str">
            <v>S</v>
          </cell>
        </row>
        <row r="302">
          <cell r="A302">
            <v>392000</v>
          </cell>
          <cell r="B302" t="str">
            <v>Impuestos y derechos</v>
          </cell>
          <cell r="C302" t="str">
            <v>N</v>
          </cell>
        </row>
        <row r="303">
          <cell r="A303">
            <v>392001</v>
          </cell>
          <cell r="B303" t="str">
            <v>Impuestos y derechos</v>
          </cell>
          <cell r="C303" t="str">
            <v>S</v>
          </cell>
        </row>
        <row r="304">
          <cell r="A304">
            <v>393000</v>
          </cell>
          <cell r="B304" t="str">
            <v>Impuestos y derechos de importación</v>
          </cell>
          <cell r="C304" t="str">
            <v>N</v>
          </cell>
        </row>
        <row r="305">
          <cell r="A305">
            <v>393001</v>
          </cell>
          <cell r="B305" t="str">
            <v>Impuestos y derechos de importación</v>
          </cell>
          <cell r="C305" t="str">
            <v>S</v>
          </cell>
        </row>
        <row r="306">
          <cell r="A306">
            <v>394000</v>
          </cell>
          <cell r="B306" t="str">
            <v>Sentencias y resoluciones judiciales</v>
          </cell>
          <cell r="C306" t="str">
            <v>N</v>
          </cell>
        </row>
        <row r="307">
          <cell r="A307">
            <v>394001</v>
          </cell>
          <cell r="B307" t="str">
            <v>Sentencias y resoluciones judiciales</v>
          </cell>
          <cell r="C307" t="str">
            <v>S</v>
          </cell>
        </row>
        <row r="308">
          <cell r="A308">
            <v>395000</v>
          </cell>
          <cell r="B308" t="str">
            <v>Penas, multas, accesorios y actualizaciones</v>
          </cell>
          <cell r="C308" t="str">
            <v>N</v>
          </cell>
        </row>
        <row r="309">
          <cell r="A309">
            <v>395001</v>
          </cell>
          <cell r="B309" t="str">
            <v>Penas, multas, accesorios y actualizaciones</v>
          </cell>
          <cell r="C309" t="str">
            <v>S</v>
          </cell>
        </row>
        <row r="310">
          <cell r="A310">
            <v>396000</v>
          </cell>
          <cell r="B310" t="str">
            <v>Otros gastos por responsabilidades</v>
          </cell>
          <cell r="C310" t="str">
            <v>N</v>
          </cell>
        </row>
        <row r="311">
          <cell r="A311">
            <v>396001</v>
          </cell>
          <cell r="B311" t="str">
            <v>Otros gastos por responsabilidades</v>
          </cell>
          <cell r="C311" t="str">
            <v>S</v>
          </cell>
        </row>
        <row r="312">
          <cell r="A312">
            <v>399000</v>
          </cell>
          <cell r="B312" t="str">
            <v>Otros servicios generales</v>
          </cell>
          <cell r="C312" t="str">
            <v>N</v>
          </cell>
        </row>
        <row r="313">
          <cell r="A313">
            <v>399001</v>
          </cell>
          <cell r="B313" t="str">
            <v>Gastos menores</v>
          </cell>
          <cell r="C313" t="str">
            <v>S</v>
          </cell>
        </row>
        <row r="314">
          <cell r="A314">
            <v>399002</v>
          </cell>
          <cell r="B314" t="str">
            <v>Retribuciones a reos</v>
          </cell>
          <cell r="C314" t="str">
            <v>S</v>
          </cell>
        </row>
        <row r="315">
          <cell r="A315">
            <v>399003</v>
          </cell>
          <cell r="B315" t="str">
            <v>Otros servicios de la administración pública</v>
          </cell>
          <cell r="C315" t="str">
            <v>S</v>
          </cell>
        </row>
        <row r="316">
          <cell r="A316">
            <v>399004</v>
          </cell>
          <cell r="B316" t="str">
            <v>Previsión Arrendamientos</v>
          </cell>
          <cell r="C316" t="str">
            <v>Prev</v>
          </cell>
        </row>
        <row r="317">
          <cell r="A317">
            <v>500000</v>
          </cell>
          <cell r="B317" t="str">
            <v>BIENES MUEBLES, INMUEBLES E INTANGIBLES</v>
          </cell>
          <cell r="C317" t="str">
            <v>N</v>
          </cell>
        </row>
        <row r="318">
          <cell r="A318">
            <v>510000</v>
          </cell>
          <cell r="B318" t="str">
            <v>MOBILIARIO Y EQUIPO DE ADMINISTRACIÓN</v>
          </cell>
          <cell r="C318" t="str">
            <v>N</v>
          </cell>
        </row>
        <row r="319">
          <cell r="A319">
            <v>511000</v>
          </cell>
          <cell r="B319" t="str">
            <v>Muebles de oficina y estantería</v>
          </cell>
          <cell r="C319" t="str">
            <v>N</v>
          </cell>
        </row>
        <row r="320">
          <cell r="A320">
            <v>511001</v>
          </cell>
          <cell r="B320" t="str">
            <v>Mobiliario</v>
          </cell>
          <cell r="C320" t="str">
            <v>S</v>
          </cell>
        </row>
        <row r="321">
          <cell r="A321">
            <v>512000</v>
          </cell>
          <cell r="B321" t="str">
            <v>Muebles, excepto de oficina y estantería</v>
          </cell>
          <cell r="C321" t="str">
            <v>N</v>
          </cell>
        </row>
        <row r="322">
          <cell r="A322">
            <v>512001</v>
          </cell>
          <cell r="B322" t="str">
            <v>Muebles, excepto de oficina y estantería</v>
          </cell>
          <cell r="C322" t="str">
            <v>S</v>
          </cell>
        </row>
        <row r="323">
          <cell r="A323">
            <v>513000</v>
          </cell>
          <cell r="B323" t="str">
            <v>Bienes artísticos, culturales y científicos</v>
          </cell>
          <cell r="C323" t="str">
            <v>N</v>
          </cell>
        </row>
        <row r="324">
          <cell r="A324">
            <v>513001</v>
          </cell>
          <cell r="B324" t="str">
            <v>Bienes artísticos y culturales</v>
          </cell>
          <cell r="C324" t="str">
            <v>S</v>
          </cell>
        </row>
        <row r="325">
          <cell r="A325">
            <v>514000</v>
          </cell>
          <cell r="B325" t="str">
            <v>Objetos de valor</v>
          </cell>
          <cell r="C325" t="str">
            <v>N</v>
          </cell>
        </row>
        <row r="326">
          <cell r="A326">
            <v>514001</v>
          </cell>
          <cell r="B326" t="str">
            <v>Objetos de valor</v>
          </cell>
          <cell r="C326" t="str">
            <v>S</v>
          </cell>
        </row>
        <row r="327">
          <cell r="A327">
            <v>515000</v>
          </cell>
          <cell r="B327" t="str">
            <v>Equipo de cómputo y de tecnologías de la información</v>
          </cell>
          <cell r="C327" t="str">
            <v>N</v>
          </cell>
        </row>
        <row r="328">
          <cell r="A328">
            <v>515001</v>
          </cell>
          <cell r="B328" t="str">
            <v>Equipo de administración</v>
          </cell>
          <cell r="C328" t="str">
            <v>S</v>
          </cell>
        </row>
        <row r="329">
          <cell r="A329">
            <v>515002</v>
          </cell>
          <cell r="B329" t="str">
            <v>Equipo de Cómputo y Aparatos de Uso Informático</v>
          </cell>
          <cell r="C329" t="str">
            <v>S</v>
          </cell>
        </row>
        <row r="330">
          <cell r="A330">
            <v>515003</v>
          </cell>
          <cell r="B330" t="str">
            <v>Sistemas de Rastreo Satelital (GPS)</v>
          </cell>
          <cell r="C330" t="str">
            <v>S</v>
          </cell>
        </row>
        <row r="331">
          <cell r="A331">
            <v>519000</v>
          </cell>
          <cell r="B331" t="str">
            <v>Otros mobiliarios y equipos de administración</v>
          </cell>
          <cell r="C331" t="str">
            <v>N</v>
          </cell>
        </row>
        <row r="332">
          <cell r="A332">
            <v>519001</v>
          </cell>
          <cell r="B332" t="str">
            <v>Cámaras y Circuitos Cerrados de Seguridad</v>
          </cell>
          <cell r="C332" t="str">
            <v>S</v>
          </cell>
        </row>
        <row r="333">
          <cell r="A333">
            <v>519002</v>
          </cell>
          <cell r="B333" t="str">
            <v>Equipos de Audio</v>
          </cell>
          <cell r="C333" t="str">
            <v>S</v>
          </cell>
        </row>
        <row r="334">
          <cell r="A334">
            <v>519003</v>
          </cell>
          <cell r="B334" t="str">
            <v>Otras Herramientas, Mobiliarios y Eq. De Administración</v>
          </cell>
          <cell r="C334" t="str">
            <v>S</v>
          </cell>
        </row>
        <row r="335">
          <cell r="A335">
            <v>519004</v>
          </cell>
          <cell r="B335" t="str">
            <v>Aulas Móviles de Vigilancia</v>
          </cell>
          <cell r="C335" t="str">
            <v>S</v>
          </cell>
        </row>
        <row r="336">
          <cell r="A336">
            <v>520000</v>
          </cell>
          <cell r="B336" t="str">
            <v>MOBILIARIO Y EQUIPO EDUCACIONAL Y RECREATIVO</v>
          </cell>
          <cell r="C336" t="str">
            <v>N</v>
          </cell>
        </row>
        <row r="337">
          <cell r="A337">
            <v>521000</v>
          </cell>
          <cell r="B337" t="str">
            <v>Equipos y aparatos audiovisuales</v>
          </cell>
          <cell r="C337" t="str">
            <v>N</v>
          </cell>
        </row>
        <row r="338">
          <cell r="A338">
            <v>521001</v>
          </cell>
          <cell r="B338" t="str">
            <v>Equipo educacional y recreativo</v>
          </cell>
          <cell r="C338" t="str">
            <v>S</v>
          </cell>
        </row>
        <row r="339">
          <cell r="A339">
            <v>522000</v>
          </cell>
          <cell r="B339" t="str">
            <v>Aparatos deportivos</v>
          </cell>
          <cell r="C339" t="str">
            <v>N</v>
          </cell>
        </row>
        <row r="340">
          <cell r="A340">
            <v>522001</v>
          </cell>
          <cell r="B340" t="str">
            <v>Aparatos deportivos</v>
          </cell>
          <cell r="C340" t="str">
            <v>S</v>
          </cell>
        </row>
        <row r="341">
          <cell r="A341">
            <v>523000</v>
          </cell>
          <cell r="B341" t="str">
            <v>Cámaras fotográficas y de video</v>
          </cell>
          <cell r="C341" t="str">
            <v>N</v>
          </cell>
        </row>
        <row r="342">
          <cell r="A342">
            <v>523001</v>
          </cell>
          <cell r="B342" t="str">
            <v>Cámaras Fotográficas</v>
          </cell>
          <cell r="C342" t="str">
            <v>S</v>
          </cell>
        </row>
        <row r="343">
          <cell r="A343">
            <v>523002</v>
          </cell>
          <cell r="B343" t="str">
            <v>Cámaras de Video</v>
          </cell>
          <cell r="C343" t="str">
            <v>S</v>
          </cell>
        </row>
        <row r="344">
          <cell r="A344">
            <v>529000</v>
          </cell>
          <cell r="B344" t="str">
            <v>Otro mobiliario y equipo educacional y recreativo</v>
          </cell>
          <cell r="C344" t="str">
            <v>N</v>
          </cell>
        </row>
        <row r="345">
          <cell r="A345">
            <v>529001</v>
          </cell>
          <cell r="B345" t="str">
            <v>Instrumentos Musicales</v>
          </cell>
          <cell r="C345" t="str">
            <v>S</v>
          </cell>
        </row>
        <row r="346">
          <cell r="A346">
            <v>529002</v>
          </cell>
          <cell r="B346" t="str">
            <v>Equipo Educacional</v>
          </cell>
          <cell r="C346" t="str">
            <v>S</v>
          </cell>
        </row>
        <row r="347">
          <cell r="A347">
            <v>530000</v>
          </cell>
          <cell r="B347" t="str">
            <v>EQUIPO E INSTRUMENTAL MÉDICO Y DE LABORATORIO</v>
          </cell>
          <cell r="C347" t="str">
            <v>N</v>
          </cell>
        </row>
        <row r="348">
          <cell r="A348">
            <v>531000</v>
          </cell>
          <cell r="B348" t="str">
            <v>Equipo médico y de laboratorio</v>
          </cell>
          <cell r="C348" t="str">
            <v>N</v>
          </cell>
        </row>
        <row r="349">
          <cell r="A349">
            <v>531001</v>
          </cell>
          <cell r="B349" t="str">
            <v>Equipo e instrumental medico</v>
          </cell>
          <cell r="C349" t="str">
            <v>S</v>
          </cell>
        </row>
        <row r="350">
          <cell r="A350">
            <v>532000</v>
          </cell>
          <cell r="B350" t="str">
            <v>Instrumental médico y de laboratorio</v>
          </cell>
          <cell r="C350" t="str">
            <v>N</v>
          </cell>
        </row>
        <row r="351">
          <cell r="A351">
            <v>532001</v>
          </cell>
          <cell r="B351" t="str">
            <v>Instrumental médico y de laboratorio</v>
          </cell>
          <cell r="C351" t="str">
            <v>S</v>
          </cell>
        </row>
        <row r="352">
          <cell r="A352">
            <v>540000</v>
          </cell>
          <cell r="B352" t="str">
            <v>VEHÍCULOS Y EQUIPO DE TRANSPORTE</v>
          </cell>
          <cell r="C352" t="str">
            <v>N</v>
          </cell>
        </row>
        <row r="353">
          <cell r="A353">
            <v>541000</v>
          </cell>
          <cell r="B353" t="str">
            <v>Automóviles y camiones</v>
          </cell>
          <cell r="C353" t="str">
            <v>N</v>
          </cell>
        </row>
        <row r="354">
          <cell r="A354">
            <v>541001</v>
          </cell>
          <cell r="B354" t="str">
            <v>Vehículos y equipo terrestre</v>
          </cell>
          <cell r="C354" t="str">
            <v>S</v>
          </cell>
        </row>
        <row r="355">
          <cell r="A355">
            <v>542000</v>
          </cell>
          <cell r="B355" t="str">
            <v>Carrocerías y remolques</v>
          </cell>
          <cell r="C355" t="str">
            <v>N</v>
          </cell>
        </row>
        <row r="356">
          <cell r="A356">
            <v>542001</v>
          </cell>
          <cell r="B356" t="str">
            <v>Carrocerías y remolques</v>
          </cell>
          <cell r="C356" t="str">
            <v>S</v>
          </cell>
        </row>
        <row r="357">
          <cell r="A357">
            <v>543000</v>
          </cell>
          <cell r="B357" t="str">
            <v>Equipo aeroespacial</v>
          </cell>
          <cell r="C357" t="str">
            <v>N</v>
          </cell>
        </row>
        <row r="358">
          <cell r="A358">
            <v>543001</v>
          </cell>
          <cell r="B358" t="str">
            <v>Vehículos y equipo de transporte aéreo</v>
          </cell>
          <cell r="C358" t="str">
            <v>S</v>
          </cell>
        </row>
        <row r="359">
          <cell r="A359">
            <v>544000</v>
          </cell>
          <cell r="B359" t="str">
            <v>Equipo ferroviario</v>
          </cell>
          <cell r="C359" t="str">
            <v>N</v>
          </cell>
        </row>
        <row r="360">
          <cell r="A360">
            <v>544001</v>
          </cell>
          <cell r="B360" t="str">
            <v>Equipo ferroviario</v>
          </cell>
          <cell r="C360" t="str">
            <v>S</v>
          </cell>
        </row>
        <row r="361">
          <cell r="A361">
            <v>545000</v>
          </cell>
          <cell r="B361" t="str">
            <v>Embarcaciones</v>
          </cell>
          <cell r="C361" t="str">
            <v>N</v>
          </cell>
        </row>
        <row r="362">
          <cell r="A362">
            <v>545001</v>
          </cell>
          <cell r="B362" t="str">
            <v>Vehículos y equipo marino</v>
          </cell>
          <cell r="C362" t="str">
            <v>S</v>
          </cell>
        </row>
        <row r="363">
          <cell r="A363">
            <v>549000</v>
          </cell>
          <cell r="B363" t="str">
            <v>Otros Equipos de Transporte</v>
          </cell>
          <cell r="C363" t="str">
            <v>N</v>
          </cell>
        </row>
        <row r="364">
          <cell r="A364">
            <v>549001</v>
          </cell>
          <cell r="B364" t="str">
            <v>Otros equipos de transporte</v>
          </cell>
          <cell r="C364" t="str">
            <v>S</v>
          </cell>
        </row>
        <row r="365">
          <cell r="A365">
            <v>550000</v>
          </cell>
          <cell r="B365" t="str">
            <v>EQUIPO DE DEFENSA Y SEGURIDAD</v>
          </cell>
          <cell r="C365" t="str">
            <v>N</v>
          </cell>
        </row>
        <row r="366">
          <cell r="A366">
            <v>551000</v>
          </cell>
          <cell r="B366" t="str">
            <v>Equipo de defensa y seguridad</v>
          </cell>
          <cell r="C366" t="str">
            <v>N</v>
          </cell>
        </row>
        <row r="367">
          <cell r="A367">
            <v>551001</v>
          </cell>
          <cell r="B367" t="str">
            <v>Equipo de defensa y seguridad pública</v>
          </cell>
          <cell r="C367" t="str">
            <v>S</v>
          </cell>
        </row>
        <row r="368">
          <cell r="A368">
            <v>560000</v>
          </cell>
          <cell r="B368" t="str">
            <v>MAQUINARIA, OTROS EQUIPOS Y HERRAMIENTAS</v>
          </cell>
          <cell r="C368" t="str">
            <v>N</v>
          </cell>
        </row>
        <row r="369">
          <cell r="A369">
            <v>561000</v>
          </cell>
          <cell r="B369" t="str">
            <v>Maquinaria y equipo agropecuario</v>
          </cell>
          <cell r="C369" t="str">
            <v>N</v>
          </cell>
        </row>
        <row r="370">
          <cell r="A370">
            <v>561001</v>
          </cell>
          <cell r="B370" t="str">
            <v>Maquinaria y equipo agropecuario, industrial y de construcción</v>
          </cell>
          <cell r="C370" t="str">
            <v>S</v>
          </cell>
        </row>
        <row r="371">
          <cell r="A371">
            <v>562000</v>
          </cell>
          <cell r="B371" t="str">
            <v>Maquinaria y equipo industrial</v>
          </cell>
          <cell r="C371" t="str">
            <v>N</v>
          </cell>
        </row>
        <row r="372">
          <cell r="A372">
            <v>562001</v>
          </cell>
          <cell r="B372" t="str">
            <v>Bombas Industriales</v>
          </cell>
          <cell r="C372" t="str">
            <v>S</v>
          </cell>
        </row>
        <row r="373">
          <cell r="A373">
            <v>563000</v>
          </cell>
          <cell r="B373" t="str">
            <v>Maquinaria y equipo de construcción</v>
          </cell>
          <cell r="C373" t="str">
            <v>N</v>
          </cell>
        </row>
        <row r="374">
          <cell r="A374">
            <v>563001</v>
          </cell>
          <cell r="B374" t="str">
            <v>Maquinaria y equipo de construcción</v>
          </cell>
          <cell r="C374" t="str">
            <v>S</v>
          </cell>
        </row>
        <row r="375">
          <cell r="A375">
            <v>564000</v>
          </cell>
          <cell r="B375" t="str">
            <v>Sistemas de aire acondicionado, calefacción y de refrigeración industrial y comercial</v>
          </cell>
          <cell r="C375" t="str">
            <v>N</v>
          </cell>
        </row>
        <row r="376">
          <cell r="A376">
            <v>564001</v>
          </cell>
          <cell r="B376" t="str">
            <v>Sistemas de aire acondicionado, calefacción y de refrigeración industrial y comercial</v>
          </cell>
          <cell r="C376" t="str">
            <v>S</v>
          </cell>
        </row>
        <row r="377">
          <cell r="A377">
            <v>565000</v>
          </cell>
          <cell r="B377" t="str">
            <v>Equipo de comunicación y telecomunicación</v>
          </cell>
          <cell r="C377" t="str">
            <v>N</v>
          </cell>
        </row>
        <row r="378">
          <cell r="A378">
            <v>565001</v>
          </cell>
          <cell r="B378" t="str">
            <v>Maq. y equipo de telecomunicaciones, eléctrica y electrónica</v>
          </cell>
          <cell r="C378" t="str">
            <v>S</v>
          </cell>
        </row>
        <row r="379">
          <cell r="A379">
            <v>566000</v>
          </cell>
          <cell r="B379" t="str">
            <v>Equipos de generación eléctrica, aparatos y accesorios eléctricos</v>
          </cell>
          <cell r="C379" t="str">
            <v>N</v>
          </cell>
        </row>
        <row r="380">
          <cell r="A380">
            <v>566001</v>
          </cell>
          <cell r="B380" t="str">
            <v>Equipos de generación eléctrica</v>
          </cell>
          <cell r="C380" t="str">
            <v>S</v>
          </cell>
        </row>
        <row r="381">
          <cell r="A381">
            <v>566002</v>
          </cell>
          <cell r="B381" t="str">
            <v>Aparatos y Accesorios eléctricos</v>
          </cell>
          <cell r="C381" t="str">
            <v>S</v>
          </cell>
        </row>
        <row r="382">
          <cell r="A382">
            <v>567000</v>
          </cell>
          <cell r="B382" t="str">
            <v>Herramientas y máquinas-herramienta</v>
          </cell>
          <cell r="C382" t="str">
            <v>N</v>
          </cell>
        </row>
        <row r="383">
          <cell r="A383">
            <v>567001</v>
          </cell>
          <cell r="B383" t="str">
            <v>Herramientas y refacciones mayores</v>
          </cell>
          <cell r="C383" t="str">
            <v>S</v>
          </cell>
        </row>
        <row r="384">
          <cell r="A384">
            <v>569000</v>
          </cell>
          <cell r="B384" t="str">
            <v>Otros equipos</v>
          </cell>
          <cell r="C384" t="str">
            <v>N</v>
          </cell>
        </row>
        <row r="385">
          <cell r="A385">
            <v>569001</v>
          </cell>
          <cell r="B385" t="str">
            <v>Maquinaria y equipo diverso</v>
          </cell>
          <cell r="C385" t="str">
            <v>S</v>
          </cell>
        </row>
        <row r="386">
          <cell r="A386">
            <v>570000</v>
          </cell>
          <cell r="B386" t="str">
            <v>ACTIVOS BIOLÓGICOS</v>
          </cell>
          <cell r="C386" t="str">
            <v>N</v>
          </cell>
        </row>
        <row r="387">
          <cell r="A387">
            <v>571000</v>
          </cell>
          <cell r="B387" t="str">
            <v>Bovinos</v>
          </cell>
          <cell r="C387" t="str">
            <v>N</v>
          </cell>
        </row>
        <row r="388">
          <cell r="A388">
            <v>571001</v>
          </cell>
          <cell r="B388" t="str">
            <v>Bovinos</v>
          </cell>
          <cell r="C388" t="str">
            <v>S</v>
          </cell>
        </row>
        <row r="389">
          <cell r="A389">
            <v>572000</v>
          </cell>
          <cell r="B389" t="str">
            <v>Porcinos</v>
          </cell>
          <cell r="C389" t="str">
            <v>N</v>
          </cell>
        </row>
        <row r="390">
          <cell r="A390">
            <v>572001</v>
          </cell>
          <cell r="B390" t="str">
            <v>Porcinos</v>
          </cell>
          <cell r="C390" t="str">
            <v>S</v>
          </cell>
        </row>
        <row r="391">
          <cell r="A391">
            <v>573000</v>
          </cell>
          <cell r="B391" t="str">
            <v>Aves</v>
          </cell>
          <cell r="C391" t="str">
            <v>N</v>
          </cell>
        </row>
        <row r="392">
          <cell r="A392">
            <v>573001</v>
          </cell>
          <cell r="B392" t="str">
            <v>Aves</v>
          </cell>
          <cell r="C392" t="str">
            <v>S</v>
          </cell>
        </row>
        <row r="393">
          <cell r="A393">
            <v>574000</v>
          </cell>
          <cell r="B393" t="str">
            <v>Ovinos y caprinos</v>
          </cell>
          <cell r="C393" t="str">
            <v>N</v>
          </cell>
        </row>
        <row r="394">
          <cell r="A394">
            <v>574001</v>
          </cell>
          <cell r="B394" t="str">
            <v>Ovinos y caprinos</v>
          </cell>
          <cell r="C394" t="str">
            <v>S</v>
          </cell>
        </row>
        <row r="395">
          <cell r="A395">
            <v>575000</v>
          </cell>
          <cell r="B395" t="str">
            <v>Peces y acuicultura</v>
          </cell>
          <cell r="C395" t="str">
            <v>N</v>
          </cell>
        </row>
        <row r="396">
          <cell r="A396">
            <v>575001</v>
          </cell>
          <cell r="B396" t="str">
            <v>Peces y acuicultura</v>
          </cell>
          <cell r="C396" t="str">
            <v>S</v>
          </cell>
        </row>
        <row r="397">
          <cell r="A397">
            <v>576000</v>
          </cell>
          <cell r="B397" t="str">
            <v>Equinos</v>
          </cell>
          <cell r="C397" t="str">
            <v>N</v>
          </cell>
        </row>
        <row r="398">
          <cell r="A398">
            <v>576001</v>
          </cell>
          <cell r="B398" t="str">
            <v>Equinos</v>
          </cell>
          <cell r="C398" t="str">
            <v>S</v>
          </cell>
        </row>
        <row r="399">
          <cell r="A399">
            <v>577000</v>
          </cell>
          <cell r="B399" t="str">
            <v>Especies menores y de zoológico</v>
          </cell>
          <cell r="C399" t="str">
            <v>N</v>
          </cell>
        </row>
        <row r="400">
          <cell r="A400">
            <v>577001</v>
          </cell>
          <cell r="B400" t="str">
            <v>Especies menores y de zoológico</v>
          </cell>
          <cell r="C400" t="str">
            <v>S</v>
          </cell>
        </row>
        <row r="401">
          <cell r="A401">
            <v>578000</v>
          </cell>
          <cell r="B401" t="str">
            <v>Árboles y plantas</v>
          </cell>
          <cell r="C401" t="str">
            <v>N</v>
          </cell>
        </row>
        <row r="402">
          <cell r="A402">
            <v>578001</v>
          </cell>
          <cell r="B402" t="str">
            <v>Árboles y plantas</v>
          </cell>
          <cell r="C402" t="str">
            <v>S</v>
          </cell>
        </row>
        <row r="403">
          <cell r="A403">
            <v>579000</v>
          </cell>
          <cell r="B403" t="str">
            <v>Otros activos biológicos</v>
          </cell>
          <cell r="C403" t="str">
            <v>N</v>
          </cell>
        </row>
        <row r="404">
          <cell r="A404">
            <v>579001</v>
          </cell>
          <cell r="B404" t="str">
            <v>Otros activos biológicos</v>
          </cell>
          <cell r="C404" t="str">
            <v>S</v>
          </cell>
        </row>
        <row r="405">
          <cell r="A405">
            <v>580000</v>
          </cell>
          <cell r="B405" t="str">
            <v>BIENES INMUEBLES</v>
          </cell>
          <cell r="C405" t="str">
            <v>N</v>
          </cell>
        </row>
        <row r="406">
          <cell r="A406">
            <v>581000</v>
          </cell>
          <cell r="B406" t="str">
            <v>Terrenos</v>
          </cell>
          <cell r="C406" t="str">
            <v>N</v>
          </cell>
        </row>
        <row r="407">
          <cell r="A407">
            <v>581001</v>
          </cell>
          <cell r="B407" t="str">
            <v>Terrenos</v>
          </cell>
          <cell r="C407" t="str">
            <v>S</v>
          </cell>
        </row>
        <row r="408">
          <cell r="A408">
            <v>582000</v>
          </cell>
          <cell r="B408" t="str">
            <v>Viviendas</v>
          </cell>
          <cell r="C408" t="str">
            <v>N</v>
          </cell>
        </row>
        <row r="409">
          <cell r="A409">
            <v>582001</v>
          </cell>
          <cell r="B409" t="str">
            <v>Viviendas</v>
          </cell>
          <cell r="C409" t="str">
            <v>S</v>
          </cell>
        </row>
        <row r="410">
          <cell r="A410">
            <v>583000</v>
          </cell>
          <cell r="B410" t="str">
            <v>Edificios no residenciales</v>
          </cell>
          <cell r="C410" t="str">
            <v>N</v>
          </cell>
        </row>
        <row r="411">
          <cell r="A411">
            <v>583001</v>
          </cell>
          <cell r="B411" t="str">
            <v>Edificios y locales</v>
          </cell>
          <cell r="C411" t="str">
            <v>S</v>
          </cell>
        </row>
        <row r="412">
          <cell r="A412">
            <v>589000</v>
          </cell>
          <cell r="B412" t="str">
            <v>Otros bienes inmuebles</v>
          </cell>
          <cell r="C412" t="str">
            <v>N</v>
          </cell>
        </row>
        <row r="413">
          <cell r="A413">
            <v>589001</v>
          </cell>
          <cell r="B413" t="str">
            <v>Adjudicaciones, expropiaciones e indemnizaciones de inmuebles</v>
          </cell>
          <cell r="C413" t="str">
            <v>S</v>
          </cell>
        </row>
        <row r="414">
          <cell r="A414">
            <v>590000</v>
          </cell>
          <cell r="B414" t="str">
            <v>ACTIVOS INTANGIBLES</v>
          </cell>
          <cell r="C414" t="str">
            <v>N</v>
          </cell>
        </row>
        <row r="415">
          <cell r="A415">
            <v>591000</v>
          </cell>
          <cell r="B415" t="str">
            <v>Software</v>
          </cell>
          <cell r="C415" t="str">
            <v>N</v>
          </cell>
        </row>
        <row r="416">
          <cell r="A416">
            <v>591001</v>
          </cell>
          <cell r="B416" t="str">
            <v>Software</v>
          </cell>
          <cell r="C416" t="str">
            <v>S</v>
          </cell>
        </row>
        <row r="417">
          <cell r="A417">
            <v>592000</v>
          </cell>
          <cell r="B417" t="str">
            <v>Patentes</v>
          </cell>
          <cell r="C417" t="str">
            <v>N</v>
          </cell>
        </row>
        <row r="418">
          <cell r="A418">
            <v>592001</v>
          </cell>
          <cell r="B418" t="str">
            <v>Patentes</v>
          </cell>
          <cell r="C418" t="str">
            <v>S</v>
          </cell>
        </row>
        <row r="419">
          <cell r="A419">
            <v>593000</v>
          </cell>
          <cell r="B419" t="str">
            <v>Marcas</v>
          </cell>
          <cell r="C419" t="str">
            <v>N</v>
          </cell>
        </row>
        <row r="420">
          <cell r="A420">
            <v>593001</v>
          </cell>
          <cell r="B420" t="str">
            <v>Marcas</v>
          </cell>
          <cell r="C420" t="str">
            <v>S</v>
          </cell>
        </row>
        <row r="421">
          <cell r="A421">
            <v>594000</v>
          </cell>
          <cell r="B421" t="str">
            <v>Derechos</v>
          </cell>
          <cell r="C421" t="str">
            <v>N</v>
          </cell>
        </row>
        <row r="422">
          <cell r="A422">
            <v>594001</v>
          </cell>
          <cell r="B422" t="str">
            <v>Derechos</v>
          </cell>
          <cell r="C422" t="str">
            <v>S</v>
          </cell>
        </row>
        <row r="423">
          <cell r="A423">
            <v>595000</v>
          </cell>
          <cell r="B423" t="str">
            <v>Concesiones</v>
          </cell>
          <cell r="C423" t="str">
            <v>N</v>
          </cell>
        </row>
        <row r="424">
          <cell r="A424">
            <v>595001</v>
          </cell>
          <cell r="B424" t="str">
            <v>Concesiones</v>
          </cell>
          <cell r="C424" t="str">
            <v>S</v>
          </cell>
        </row>
        <row r="425">
          <cell r="A425">
            <v>596000</v>
          </cell>
          <cell r="B425" t="str">
            <v>Franquicias</v>
          </cell>
          <cell r="C425" t="str">
            <v>N</v>
          </cell>
        </row>
        <row r="426">
          <cell r="A426">
            <v>596001</v>
          </cell>
          <cell r="B426" t="str">
            <v>Franquicias</v>
          </cell>
          <cell r="C426" t="str">
            <v>S</v>
          </cell>
        </row>
        <row r="427">
          <cell r="A427">
            <v>597000</v>
          </cell>
          <cell r="B427" t="str">
            <v>Licencias informáticas e intelectuales</v>
          </cell>
          <cell r="C427" t="str">
            <v>N</v>
          </cell>
        </row>
        <row r="428">
          <cell r="A428">
            <v>597001</v>
          </cell>
          <cell r="B428" t="str">
            <v>Licencias para programas de antivirus</v>
          </cell>
          <cell r="C428" t="str">
            <v>S</v>
          </cell>
        </row>
        <row r="429">
          <cell r="A429">
            <v>597002</v>
          </cell>
          <cell r="B429" t="str">
            <v>Licencias Microsoft Windows server 2003 edición estándar</v>
          </cell>
          <cell r="C429" t="str">
            <v>S</v>
          </cell>
        </row>
        <row r="430">
          <cell r="A430">
            <v>598000</v>
          </cell>
          <cell r="B430" t="str">
            <v>Licencias industriales, comerciales y otras</v>
          </cell>
          <cell r="C430" t="str">
            <v>N</v>
          </cell>
        </row>
        <row r="431">
          <cell r="A431">
            <v>598001</v>
          </cell>
          <cell r="B431" t="str">
            <v>Licencias industriales, comerciales y otras</v>
          </cell>
          <cell r="C431" t="str">
            <v>S</v>
          </cell>
        </row>
        <row r="432">
          <cell r="A432">
            <v>599000</v>
          </cell>
          <cell r="B432" t="str">
            <v>Otros activos intangibles</v>
          </cell>
          <cell r="C432" t="str">
            <v>N</v>
          </cell>
        </row>
        <row r="433">
          <cell r="A433">
            <v>599001</v>
          </cell>
          <cell r="B433" t="str">
            <v>Otros activos intangibles</v>
          </cell>
          <cell r="C433" t="str">
            <v>S</v>
          </cell>
        </row>
      </sheetData>
      <sheetData sheetId="4" refreshError="1">
        <row r="1">
          <cell r="A1" t="str">
            <v>NOMENCLATURA</v>
          </cell>
          <cell r="B1" t="str">
            <v>DESCRPCION</v>
          </cell>
          <cell r="C1"/>
          <cell r="D1"/>
        </row>
        <row r="2">
          <cell r="A2">
            <v>100</v>
          </cell>
          <cell r="B2" t="str">
            <v>INGRESOS PROPIOS Y APROVECHAMIENTOS</v>
          </cell>
          <cell r="C2"/>
          <cell r="D2"/>
        </row>
        <row r="3">
          <cell r="A3">
            <v>101</v>
          </cell>
          <cell r="B3" t="str">
            <v>INGRESOS PROPIOS (IMPUESTOS, DERECHOS, PRODUCTOS Y APROVECHAMIENTOS)</v>
          </cell>
          <cell r="C3"/>
          <cell r="D3"/>
        </row>
        <row r="4">
          <cell r="A4">
            <v>102</v>
          </cell>
          <cell r="B4" t="str">
            <v>INGRESOS PROPIOS</v>
          </cell>
          <cell r="C4"/>
          <cell r="D4"/>
        </row>
        <row r="5">
          <cell r="A5">
            <v>103</v>
          </cell>
          <cell r="B5" t="str">
            <v>INGRESOS PROPIOS APORTACIONES MUNICIPALES</v>
          </cell>
          <cell r="C5"/>
          <cell r="D5"/>
        </row>
        <row r="6">
          <cell r="A6">
            <v>104</v>
          </cell>
          <cell r="B6" t="str">
            <v>APROVECHAMIENTO POR EL USO DE LA I NFRAESTRUCTURA ESTATAL</v>
          </cell>
          <cell r="C6"/>
          <cell r="D6"/>
        </row>
        <row r="7">
          <cell r="A7">
            <v>110</v>
          </cell>
          <cell r="B7" t="str">
            <v>RECURSO F.O.I.S.</v>
          </cell>
          <cell r="C7"/>
          <cell r="D7"/>
        </row>
        <row r="8">
          <cell r="A8">
            <v>111</v>
          </cell>
          <cell r="B8" t="str">
            <v>RECURSO A.P.I.</v>
          </cell>
          <cell r="C8"/>
          <cell r="D8"/>
        </row>
        <row r="9">
          <cell r="A9">
            <v>130</v>
          </cell>
          <cell r="B9" t="str">
            <v>Reintegro con Ingresos Propios Ramo 28</v>
          </cell>
          <cell r="C9"/>
          <cell r="D9"/>
        </row>
        <row r="10">
          <cell r="A10">
            <v>136</v>
          </cell>
          <cell r="B10" t="str">
            <v>Reintegro con Ingresos Propios FONE</v>
          </cell>
          <cell r="C10"/>
          <cell r="D10"/>
        </row>
        <row r="11">
          <cell r="A11">
            <v>137</v>
          </cell>
          <cell r="B11" t="str">
            <v>Reintegro con Ingresos Propios FASSA</v>
          </cell>
          <cell r="C11"/>
          <cell r="D11"/>
        </row>
        <row r="12">
          <cell r="A12">
            <v>138</v>
          </cell>
          <cell r="B12" t="str">
            <v>Reintegro con Ingresos Propios FAIS/FISE</v>
          </cell>
          <cell r="C12"/>
          <cell r="D12"/>
        </row>
        <row r="13">
          <cell r="A13">
            <v>139</v>
          </cell>
          <cell r="B13" t="str">
            <v>Reintegro con Ingresos Propios FAIS/FISM</v>
          </cell>
          <cell r="C13"/>
          <cell r="D13"/>
        </row>
        <row r="14">
          <cell r="A14">
            <v>140</v>
          </cell>
          <cell r="B14" t="str">
            <v>Reintegro con Ingresos Propios FORTAMUN</v>
          </cell>
          <cell r="C14"/>
          <cell r="D14"/>
        </row>
        <row r="15">
          <cell r="A15">
            <v>141</v>
          </cell>
          <cell r="B15" t="str">
            <v>Reintegro con Ingresos Propios FAM/Asistencia Social</v>
          </cell>
          <cell r="C15"/>
          <cell r="D15"/>
        </row>
        <row r="16">
          <cell r="A16">
            <v>142</v>
          </cell>
          <cell r="B16" t="str">
            <v>Reintegro con Ingresos Propios FAM/Infraest. Educación Básica</v>
          </cell>
          <cell r="C16"/>
          <cell r="D16"/>
        </row>
        <row r="17">
          <cell r="A17">
            <v>143</v>
          </cell>
          <cell r="B17" t="str">
            <v>Reintegro con Ingresos Propios FAM/ Infraest. Educación Media Superior y Superior</v>
          </cell>
          <cell r="C17"/>
          <cell r="D17"/>
        </row>
        <row r="18">
          <cell r="A18">
            <v>145</v>
          </cell>
          <cell r="B18" t="str">
            <v>Reintegro con Ingresos Propios FAETA/Educ. Tecnológica (CONALEP)</v>
          </cell>
          <cell r="C18"/>
          <cell r="D18"/>
        </row>
        <row r="19">
          <cell r="A19">
            <v>146</v>
          </cell>
          <cell r="B19" t="str">
            <v>Reintegro con Ingresos Propios FAETA Educ. Adultos (IEEA)</v>
          </cell>
          <cell r="C19"/>
          <cell r="D19"/>
        </row>
        <row r="20">
          <cell r="A20">
            <v>147</v>
          </cell>
          <cell r="B20" t="str">
            <v>Reintegro con Ingresos Propios FASP</v>
          </cell>
          <cell r="C20"/>
          <cell r="D20"/>
        </row>
        <row r="21">
          <cell r="A21">
            <v>148</v>
          </cell>
          <cell r="B21" t="str">
            <v>Reintegro con Ingresos Propios FAFEF</v>
          </cell>
          <cell r="C21"/>
          <cell r="D21"/>
        </row>
        <row r="22">
          <cell r="A22">
            <v>149</v>
          </cell>
          <cell r="B22" t="str">
            <v>Reintegro con Ingresos Propios SEDATU</v>
          </cell>
          <cell r="C22"/>
          <cell r="D22"/>
        </row>
        <row r="23">
          <cell r="A23">
            <v>161</v>
          </cell>
          <cell r="B23" t="str">
            <v>Reintegro con Ingresos Propios CULTURA Ramo 48</v>
          </cell>
          <cell r="C23"/>
          <cell r="D23"/>
        </row>
        <row r="24">
          <cell r="A24">
            <v>162</v>
          </cell>
          <cell r="B24" t="str">
            <v>Reintegro con Ingresos Propios UABCS</v>
          </cell>
          <cell r="C24"/>
          <cell r="D24"/>
        </row>
        <row r="25">
          <cell r="A25">
            <v>163</v>
          </cell>
          <cell r="B25" t="str">
            <v>Reintegro con Ingresos Propios CONAGUA</v>
          </cell>
          <cell r="C25"/>
          <cell r="D25"/>
        </row>
        <row r="26">
          <cell r="A26">
            <v>164</v>
          </cell>
          <cell r="B26" t="str">
            <v>Reintegro con Ingresos Propios SEGOB</v>
          </cell>
          <cell r="C26"/>
          <cell r="D26"/>
        </row>
        <row r="27">
          <cell r="A27">
            <v>165</v>
          </cell>
          <cell r="B27" t="str">
            <v>Reintegro con Ingresos Propios SECTUR</v>
          </cell>
          <cell r="C27"/>
          <cell r="D27"/>
        </row>
        <row r="28">
          <cell r="A28">
            <v>166</v>
          </cell>
          <cell r="B28" t="str">
            <v>Reintegro con Ingresos Propios PROFIS</v>
          </cell>
          <cell r="C28"/>
          <cell r="D28"/>
        </row>
        <row r="29">
          <cell r="A29">
            <v>167</v>
          </cell>
          <cell r="B29" t="str">
            <v>Reintegro con Ingresos Propios SSP</v>
          </cell>
          <cell r="C29"/>
          <cell r="D29"/>
        </row>
        <row r="30">
          <cell r="A30">
            <v>168</v>
          </cell>
          <cell r="B30" t="str">
            <v>Reintegro con Ingresos Propios COBACH</v>
          </cell>
          <cell r="C30"/>
          <cell r="D30"/>
        </row>
        <row r="31">
          <cell r="A31">
            <v>169</v>
          </cell>
          <cell r="B31" t="str">
            <v>Reintegro con Ingresos Propios Fondo Proporcional Peso a Peso</v>
          </cell>
          <cell r="C31"/>
          <cell r="D31"/>
        </row>
        <row r="32">
          <cell r="A32">
            <v>170</v>
          </cell>
          <cell r="B32" t="str">
            <v>Reintegro con Ingresos Propios CECYTE</v>
          </cell>
          <cell r="C32"/>
          <cell r="D32"/>
        </row>
        <row r="33">
          <cell r="A33">
            <v>171</v>
          </cell>
          <cell r="B33" t="str">
            <v>Reintegro con Ingresos Propios Imp. Ref. Penal (SETEC)</v>
          </cell>
          <cell r="C33"/>
          <cell r="D33"/>
        </row>
        <row r="34">
          <cell r="A34">
            <v>172</v>
          </cell>
          <cell r="B34" t="str">
            <v>Reintegro con Ingresos Propios CONADE</v>
          </cell>
          <cell r="C34"/>
          <cell r="D34"/>
        </row>
        <row r="35">
          <cell r="A35">
            <v>173</v>
          </cell>
          <cell r="B35" t="str">
            <v>Reintegro con Ingresos Propios Conv. Salud (Ramo 12)</v>
          </cell>
          <cell r="C35"/>
          <cell r="D35"/>
        </row>
        <row r="36">
          <cell r="A36">
            <v>174</v>
          </cell>
          <cell r="B36" t="str">
            <v>Reintegro con Ingresos Propios Secretaría de Economía</v>
          </cell>
          <cell r="C36"/>
          <cell r="D36"/>
        </row>
        <row r="37">
          <cell r="A37">
            <v>177</v>
          </cell>
          <cell r="B37" t="str">
            <v>Reintegro con Ingresos Propios SUBSEMUN</v>
          </cell>
          <cell r="C37"/>
          <cell r="D37"/>
        </row>
        <row r="38">
          <cell r="A38">
            <v>178</v>
          </cell>
          <cell r="B38" t="str">
            <v>Reintegro con Ingresos Propios Fondo Para La Infraest. de los Estados</v>
          </cell>
          <cell r="C38"/>
          <cell r="D38"/>
        </row>
        <row r="39">
          <cell r="A39">
            <v>179</v>
          </cell>
          <cell r="B39" t="str">
            <v>Reintegro con Ingresos Propios Apoyo Financiero Ext. UABCS</v>
          </cell>
          <cell r="C39"/>
          <cell r="D39"/>
        </row>
        <row r="40">
          <cell r="A40">
            <v>180</v>
          </cell>
          <cell r="B40" t="str">
            <v>Reintegro con Ingresos Propios Apoyo Financiero Ext. ISIFE</v>
          </cell>
          <cell r="C40"/>
          <cell r="D40"/>
        </row>
        <row r="41">
          <cell r="A41">
            <v>181</v>
          </cell>
          <cell r="B41" t="str">
            <v>Reintegro con Ingresos Propios Subs. Policía Estatal Acreditable (SPA)</v>
          </cell>
          <cell r="C41"/>
          <cell r="D41"/>
        </row>
        <row r="42">
          <cell r="A42">
            <v>182</v>
          </cell>
          <cell r="B42" t="str">
            <v>Reintegro con Ingresos Propios PROASP</v>
          </cell>
          <cell r="C42"/>
          <cell r="D42"/>
        </row>
        <row r="43">
          <cell r="A43">
            <v>183</v>
          </cell>
          <cell r="B43" t="str">
            <v>Reintegro con Ingresos Propios Ingresos Extraordinarios</v>
          </cell>
          <cell r="C43"/>
          <cell r="D43"/>
        </row>
        <row r="44">
          <cell r="A44">
            <v>184</v>
          </cell>
          <cell r="B44" t="str">
            <v>Reintegro con Ingresos Propios Ingresos Derivados del 5 Al Millar (Obra)</v>
          </cell>
          <cell r="C44"/>
          <cell r="D44"/>
        </row>
        <row r="45">
          <cell r="A45">
            <v>185</v>
          </cell>
          <cell r="B45" t="str">
            <v>Reintegro con Ingresos Propios Ingresos Extraordinarios Ramo 23</v>
          </cell>
          <cell r="C45"/>
          <cell r="D45"/>
        </row>
        <row r="46">
          <cell r="A46">
            <v>186</v>
          </cell>
          <cell r="B46" t="str">
            <v>Reintegro con Ingresos Propios Ingresos Extraordinarios Ramo 21</v>
          </cell>
          <cell r="C46"/>
          <cell r="D46"/>
        </row>
        <row r="47">
          <cell r="A47">
            <v>187</v>
          </cell>
          <cell r="B47" t="str">
            <v>Reintegro con Ingresos Propios Ingresos Extraordinarios Sep. Ramo 11</v>
          </cell>
          <cell r="C47"/>
          <cell r="D47"/>
        </row>
        <row r="48">
          <cell r="A48">
            <v>188</v>
          </cell>
          <cell r="B48" t="str">
            <v>Reintegro con Ingresos Propios Ingresos Ext. Ramo 09 (SCT)</v>
          </cell>
          <cell r="C48"/>
          <cell r="D48"/>
        </row>
        <row r="49">
          <cell r="A49">
            <v>189</v>
          </cell>
          <cell r="B49" t="str">
            <v>Reintegro con Ingresos Propios Ingresos Ext. Ramo 16 (SEMARNAT)</v>
          </cell>
          <cell r="C49"/>
          <cell r="D49"/>
        </row>
        <row r="50">
          <cell r="A50">
            <v>201</v>
          </cell>
          <cell r="B50" t="str">
            <v>BONO CUPÓN CERO</v>
          </cell>
          <cell r="C50"/>
          <cell r="D50"/>
        </row>
        <row r="51">
          <cell r="A51">
            <v>500</v>
          </cell>
          <cell r="B51" t="str">
            <v>RECURSOS FEDERALES</v>
          </cell>
          <cell r="C51"/>
          <cell r="D51"/>
        </row>
        <row r="52">
          <cell r="A52">
            <v>530</v>
          </cell>
          <cell r="B52" t="str">
            <v>PARTICIPACIONES Ramo 28</v>
          </cell>
          <cell r="C52"/>
          <cell r="D52"/>
        </row>
        <row r="53">
          <cell r="A53">
            <v>535</v>
          </cell>
          <cell r="B53" t="str">
            <v>INTERESES BANCARIOS PROYECTADOS, RECURSOS FEDERALES</v>
          </cell>
          <cell r="C53"/>
          <cell r="D53"/>
        </row>
        <row r="54">
          <cell r="A54">
            <v>536</v>
          </cell>
          <cell r="B54" t="str">
            <v>FONE Ramo 33</v>
          </cell>
          <cell r="C54"/>
          <cell r="D54"/>
        </row>
        <row r="55">
          <cell r="A55">
            <v>537</v>
          </cell>
          <cell r="B55" t="str">
            <v>FASSA Ramo 33</v>
          </cell>
          <cell r="C55"/>
          <cell r="D55"/>
        </row>
        <row r="56">
          <cell r="A56">
            <v>538</v>
          </cell>
          <cell r="B56" t="str">
            <v>FAIS/FISE Ramo 33</v>
          </cell>
          <cell r="C56"/>
          <cell r="D56"/>
        </row>
        <row r="57">
          <cell r="A57">
            <v>539</v>
          </cell>
          <cell r="B57" t="str">
            <v>FAIS/FISM Ramo 33</v>
          </cell>
          <cell r="C57"/>
          <cell r="D57"/>
        </row>
        <row r="58">
          <cell r="A58">
            <v>540</v>
          </cell>
          <cell r="B58" t="str">
            <v>FORTAMUN Ramo 33</v>
          </cell>
          <cell r="C58"/>
          <cell r="D58"/>
        </row>
        <row r="59">
          <cell r="A59">
            <v>541</v>
          </cell>
          <cell r="B59" t="str">
            <v>FAM/ASISTENCIA SOCIAL Ramo 33</v>
          </cell>
          <cell r="C59"/>
          <cell r="D59"/>
        </row>
        <row r="60">
          <cell r="A60">
            <v>542</v>
          </cell>
          <cell r="B60" t="str">
            <v>FAM/INFRAESTRUCTURA DE EDUCACIÓN BÁSICA Ramo 33</v>
          </cell>
          <cell r="C60"/>
          <cell r="D60"/>
        </row>
        <row r="61">
          <cell r="A61">
            <v>543</v>
          </cell>
          <cell r="B61" t="str">
            <v>FAM/EDUCACIÓN MEDIA SUPERIOR Y SUPERIOR Ramo 33</v>
          </cell>
          <cell r="C61"/>
          <cell r="D61"/>
        </row>
        <row r="62">
          <cell r="A62">
            <v>545</v>
          </cell>
          <cell r="B62" t="str">
            <v>FAETA/EDUCACIÓN TECNOLÓGICA ( CONALEP) Ramo 33</v>
          </cell>
          <cell r="C62"/>
          <cell r="D62"/>
        </row>
        <row r="63">
          <cell r="A63">
            <v>546</v>
          </cell>
          <cell r="B63" t="str">
            <v>FAETA/EDUCACIÓN ADULTOS (IEEA) Ramo 33</v>
          </cell>
          <cell r="C63"/>
          <cell r="D63"/>
        </row>
        <row r="64">
          <cell r="A64">
            <v>547</v>
          </cell>
          <cell r="B64" t="str">
            <v>FASP Ramo 33</v>
          </cell>
          <cell r="C64"/>
          <cell r="D64"/>
        </row>
        <row r="65">
          <cell r="A65">
            <v>548</v>
          </cell>
          <cell r="B65" t="str">
            <v>FAFEF Ramo 33</v>
          </cell>
          <cell r="C65"/>
          <cell r="D65"/>
        </row>
        <row r="66">
          <cell r="A66">
            <v>549</v>
          </cell>
          <cell r="B66" t="str">
            <v>SRIA. DE DES. AGRARIO TERRITORIAL Y URBANO (SEDATU) Ramo 15</v>
          </cell>
          <cell r="C66"/>
          <cell r="D66"/>
        </row>
        <row r="67">
          <cell r="A67">
            <v>561</v>
          </cell>
          <cell r="B67" t="str">
            <v>CULTURA FEDERAL Ramo 48</v>
          </cell>
          <cell r="C67"/>
          <cell r="D67"/>
        </row>
        <row r="68">
          <cell r="A68">
            <v>562</v>
          </cell>
          <cell r="B68" t="str">
            <v>UNIVERSIDAD AUTÓNOMA DE B.C.S. Ramo 11</v>
          </cell>
          <cell r="C68"/>
          <cell r="D68"/>
        </row>
        <row r="69">
          <cell r="A69">
            <v>563</v>
          </cell>
          <cell r="B69" t="str">
            <v>CONAGUA Ramo 16</v>
          </cell>
          <cell r="C69"/>
          <cell r="D69"/>
        </row>
        <row r="70">
          <cell r="A70">
            <v>564</v>
          </cell>
          <cell r="B70" t="str">
            <v>SECRETARÍA DE GOBERNACIÓN Ramo 04</v>
          </cell>
          <cell r="C70"/>
          <cell r="D70"/>
        </row>
        <row r="71">
          <cell r="A71">
            <v>565</v>
          </cell>
          <cell r="B71" t="str">
            <v>SECRETARÍA DE TURISMO Ramo 21</v>
          </cell>
          <cell r="C71"/>
          <cell r="D71"/>
        </row>
        <row r="72">
          <cell r="A72">
            <v>566</v>
          </cell>
          <cell r="B72" t="str">
            <v>PROFIS</v>
          </cell>
          <cell r="C72"/>
          <cell r="D72"/>
        </row>
        <row r="73">
          <cell r="A73">
            <v>567</v>
          </cell>
          <cell r="B73" t="str">
            <v>SECRETARÍA DE SEGURIDAD PÚBLICA</v>
          </cell>
          <cell r="C73"/>
          <cell r="D73"/>
        </row>
        <row r="74">
          <cell r="A74">
            <v>568</v>
          </cell>
          <cell r="B74" t="str">
            <v>COBACH Ramo 11</v>
          </cell>
          <cell r="C74"/>
          <cell r="D74"/>
        </row>
        <row r="75">
          <cell r="A75">
            <v>569</v>
          </cell>
          <cell r="B75" t="str">
            <v>FONDO PROPORCIONAL PESO A PESO</v>
          </cell>
          <cell r="C75"/>
          <cell r="D75"/>
        </row>
        <row r="76">
          <cell r="A76">
            <v>570</v>
          </cell>
          <cell r="B76" t="str">
            <v>CECYTE Ramo 11</v>
          </cell>
          <cell r="C76"/>
          <cell r="D76"/>
        </row>
        <row r="77">
          <cell r="A77">
            <v>571</v>
          </cell>
          <cell r="B77" t="str">
            <v>IMPLEMENTACIÓN DE LA REFORMA PENAL (SETEC)</v>
          </cell>
          <cell r="C77"/>
          <cell r="D77"/>
        </row>
        <row r="78">
          <cell r="A78">
            <v>572</v>
          </cell>
          <cell r="B78" t="str">
            <v>CONADE Ramo 11</v>
          </cell>
          <cell r="C78"/>
          <cell r="D78"/>
        </row>
        <row r="79">
          <cell r="A79">
            <v>573</v>
          </cell>
          <cell r="B79" t="str">
            <v>CONVENIOS Ramo 12</v>
          </cell>
          <cell r="C79"/>
          <cell r="D79"/>
        </row>
        <row r="80">
          <cell r="A80">
            <v>574</v>
          </cell>
          <cell r="B80" t="str">
            <v>SECRETARÍA DE ECONOMÍA Ramo 10</v>
          </cell>
          <cell r="C80"/>
          <cell r="D80"/>
        </row>
        <row r="81">
          <cell r="A81">
            <v>577</v>
          </cell>
          <cell r="B81" t="str">
            <v>SUBSIDIO SEGURIDAD PÚBLICA MUNICIPAL</v>
          </cell>
          <cell r="C81"/>
          <cell r="D81"/>
        </row>
        <row r="82">
          <cell r="A82">
            <v>578</v>
          </cell>
          <cell r="B82" t="str">
            <v>FIDEICOMISO PARA LA INFRAESTRUCTURA DE LOS ESTADOS Ramo 23</v>
          </cell>
          <cell r="C82"/>
          <cell r="D82"/>
        </row>
        <row r="83">
          <cell r="A83">
            <v>579</v>
          </cell>
          <cell r="B83" t="str">
            <v>APOYO FINANCIERO EXTRAORDINARIO UABCS Ramo 11</v>
          </cell>
          <cell r="C83"/>
          <cell r="D83"/>
        </row>
        <row r="84">
          <cell r="A84">
            <v>580</v>
          </cell>
          <cell r="B84" t="str">
            <v>APOYO FINANCIERO EXTRAORDINARIO ISIFE Ramo 11</v>
          </cell>
          <cell r="C84"/>
          <cell r="D84"/>
        </row>
        <row r="85">
          <cell r="A85">
            <v>581</v>
          </cell>
          <cell r="B85" t="str">
            <v>SUBSIDIO POLICÍA ESTATAL ACREDITABLE (SPA)</v>
          </cell>
          <cell r="C85"/>
          <cell r="D85"/>
        </row>
        <row r="86">
          <cell r="A86">
            <v>582</v>
          </cell>
          <cell r="B86" t="str">
            <v>PROASP PROG. DE ALCANCE NAL. EN MAT. DE SEG. PUB. Ramo 04</v>
          </cell>
          <cell r="C86"/>
          <cell r="D86"/>
        </row>
        <row r="87">
          <cell r="A87">
            <v>583</v>
          </cell>
          <cell r="B87" t="str">
            <v>INGRESOS EXTRAORDINARIOS</v>
          </cell>
          <cell r="C87"/>
          <cell r="D87"/>
        </row>
        <row r="88">
          <cell r="A88">
            <v>584</v>
          </cell>
          <cell r="B88" t="str">
            <v>INGRESOS DERIVADOS DEL 5 AL MILLAR (OBRA)</v>
          </cell>
          <cell r="C88"/>
          <cell r="D88"/>
        </row>
        <row r="89">
          <cell r="A89">
            <v>585</v>
          </cell>
          <cell r="B89" t="str">
            <v>INGRESOS EXT Ramo 23 ( Provisiones Salariales y Económicas )</v>
          </cell>
          <cell r="C89"/>
          <cell r="D89"/>
        </row>
        <row r="90">
          <cell r="A90">
            <v>586</v>
          </cell>
          <cell r="B90" t="str">
            <v>INGRESOS EXT Ramo 21 (TURISMO)</v>
          </cell>
          <cell r="C90"/>
          <cell r="D90"/>
        </row>
        <row r="91">
          <cell r="A91">
            <v>587</v>
          </cell>
          <cell r="B91" t="str">
            <v>INGRESOS EXT Ramo 11 (SEP)</v>
          </cell>
          <cell r="C91"/>
          <cell r="D91"/>
        </row>
        <row r="92">
          <cell r="A92">
            <v>588</v>
          </cell>
          <cell r="B92" t="str">
            <v>INGRESOS EXT Ramo 09 (SCT)</v>
          </cell>
          <cell r="C92"/>
          <cell r="D92"/>
        </row>
        <row r="93">
          <cell r="A93">
            <v>589</v>
          </cell>
          <cell r="B93" t="str">
            <v>INGRESOS EXT Ramo 16 (SEMARNAT)</v>
          </cell>
          <cell r="C93"/>
          <cell r="D93"/>
        </row>
        <row r="94">
          <cell r="A94">
            <v>590</v>
          </cell>
          <cell r="B94" t="str">
            <v>INGRESOS EXT FORTASEG Ramo 04 (GOBERNACIÓN)</v>
          </cell>
          <cell r="C94"/>
          <cell r="D94"/>
        </row>
        <row r="95">
          <cell r="A95">
            <v>591</v>
          </cell>
          <cell r="B95" t="str">
            <v>INGRESOS EXT Ramo 20 (BIENESTAR)</v>
          </cell>
          <cell r="C95"/>
          <cell r="D95"/>
        </row>
        <row r="96">
          <cell r="A96">
            <v>598</v>
          </cell>
          <cell r="B96" t="str">
            <v>REMANENTE FONE 2016</v>
          </cell>
          <cell r="C96"/>
          <cell r="D96"/>
        </row>
        <row r="97">
          <cell r="A97">
            <v>599</v>
          </cell>
          <cell r="B97" t="str">
            <v>REMANENTE FONE 2015</v>
          </cell>
          <cell r="C97"/>
          <cell r="D97"/>
        </row>
        <row r="98">
          <cell r="A98">
            <v>700</v>
          </cell>
          <cell r="B98" t="str">
            <v>OTROS RECURSOS</v>
          </cell>
          <cell r="C98"/>
          <cell r="D98"/>
        </row>
        <row r="99">
          <cell r="A99">
            <v>736</v>
          </cell>
          <cell r="B99" t="str">
            <v>RENDIMIENTOS FONE</v>
          </cell>
          <cell r="C99"/>
          <cell r="D99"/>
        </row>
        <row r="100">
          <cell r="A100">
            <v>737</v>
          </cell>
          <cell r="B100" t="str">
            <v>RENDIMIENTOS FAM</v>
          </cell>
          <cell r="C100"/>
          <cell r="D100"/>
        </row>
        <row r="101">
          <cell r="A101">
            <v>747</v>
          </cell>
          <cell r="B101" t="str">
            <v>RENDIMIENTOS FASP</v>
          </cell>
          <cell r="C101"/>
          <cell r="D101"/>
        </row>
        <row r="102">
          <cell r="A102">
            <v>783</v>
          </cell>
          <cell r="B102" t="str">
            <v>INGRESOS EXTRAORDINARIOS (OTROS)</v>
          </cell>
          <cell r="C102"/>
          <cell r="D102"/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AS 2000"/>
      <sheetName val="PAAS 3000"/>
      <sheetName val="PAAS 5000"/>
      <sheetName val="CAPITULO"/>
      <sheetName val="PARTIDA"/>
      <sheetName val="COG"/>
      <sheetName val="FF"/>
      <sheetName val="PROCED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CUENTA</v>
          </cell>
          <cell r="B1" t="str">
            <v>CONCEPTO</v>
          </cell>
          <cell r="C1" t="str">
            <v>AFECTABLE/ NO
AFECTABLE</v>
          </cell>
        </row>
        <row r="2">
          <cell r="A2">
            <v>210000</v>
          </cell>
          <cell r="B2" t="str">
            <v>MATERIALES DE ADMINISTRACIÓN, EMISIÓN DE DOCUMENTOS Y ARTÍCULO OFICIALES</v>
          </cell>
          <cell r="C2" t="str">
            <v>N</v>
          </cell>
        </row>
        <row r="3">
          <cell r="A3">
            <v>211000</v>
          </cell>
          <cell r="B3" t="str">
            <v>Materiales, útiles y equipos menores de oficina</v>
          </cell>
          <cell r="C3" t="str">
            <v>N</v>
          </cell>
        </row>
        <row r="4">
          <cell r="A4">
            <v>211001</v>
          </cell>
          <cell r="B4" t="str">
            <v>Material de oficina</v>
          </cell>
          <cell r="C4" t="str">
            <v>S</v>
          </cell>
        </row>
        <row r="5">
          <cell r="A5">
            <v>212000</v>
          </cell>
          <cell r="B5" t="str">
            <v>Materiales y útiles de impresión y reproducción</v>
          </cell>
          <cell r="C5" t="str">
            <v>N</v>
          </cell>
        </row>
        <row r="6">
          <cell r="A6">
            <v>212001</v>
          </cell>
          <cell r="B6" t="str">
            <v>Material y útiles de impresión</v>
          </cell>
          <cell r="C6" t="str">
            <v>S</v>
          </cell>
        </row>
        <row r="7">
          <cell r="A7">
            <v>213000</v>
          </cell>
          <cell r="B7" t="str">
            <v>Material estadístico y geográfico</v>
          </cell>
          <cell r="C7" t="str">
            <v>N</v>
          </cell>
        </row>
        <row r="8">
          <cell r="A8">
            <v>213001</v>
          </cell>
          <cell r="B8" t="str">
            <v>Material estadístico y geográfico</v>
          </cell>
          <cell r="C8" t="str">
            <v>S</v>
          </cell>
        </row>
        <row r="9">
          <cell r="A9">
            <v>214000</v>
          </cell>
          <cell r="B9" t="str">
            <v>Materiales, útiles y equipos menores de tecnologías de la información y comunicaciones</v>
          </cell>
          <cell r="C9" t="str">
            <v>N</v>
          </cell>
        </row>
        <row r="10">
          <cell r="A10">
            <v>214001</v>
          </cell>
          <cell r="B10" t="str">
            <v>Materiales, útiles y equipos menores de tecnologías de la información y comunicaciones</v>
          </cell>
          <cell r="C10" t="str">
            <v>S</v>
          </cell>
        </row>
        <row r="11">
          <cell r="A11">
            <v>215000</v>
          </cell>
          <cell r="B11" t="str">
            <v>Material impreso e información digital</v>
          </cell>
          <cell r="C11" t="str">
            <v>N</v>
          </cell>
        </row>
        <row r="12">
          <cell r="A12">
            <v>215001</v>
          </cell>
          <cell r="B12" t="str">
            <v>Material didáctico</v>
          </cell>
          <cell r="C12" t="str">
            <v>S</v>
          </cell>
        </row>
        <row r="13">
          <cell r="A13">
            <v>215002</v>
          </cell>
          <cell r="B13" t="str">
            <v>Suscripciones a Periódicos, Revistas y Publicaciones Especializadas</v>
          </cell>
          <cell r="C13" t="str">
            <v>S</v>
          </cell>
        </row>
        <row r="14">
          <cell r="A14">
            <v>215003</v>
          </cell>
          <cell r="B14" t="str">
            <v>Material impreso e información digital</v>
          </cell>
          <cell r="C14" t="str">
            <v>S</v>
          </cell>
        </row>
        <row r="15">
          <cell r="A15">
            <v>216000</v>
          </cell>
          <cell r="B15" t="str">
            <v>Material de limpieza</v>
          </cell>
          <cell r="C15" t="str">
            <v>N</v>
          </cell>
        </row>
        <row r="16">
          <cell r="A16">
            <v>216001</v>
          </cell>
          <cell r="B16" t="str">
            <v>Material de limpieza</v>
          </cell>
          <cell r="C16" t="str">
            <v>S</v>
          </cell>
        </row>
        <row r="17">
          <cell r="A17">
            <v>217000</v>
          </cell>
          <cell r="B17" t="str">
            <v>Materiales y útiles de enseñanza</v>
          </cell>
          <cell r="C17" t="str">
            <v>N</v>
          </cell>
        </row>
        <row r="18">
          <cell r="A18">
            <v>217001</v>
          </cell>
          <cell r="B18" t="str">
            <v>Materiales y útiles de enseñanza</v>
          </cell>
          <cell r="C18" t="str">
            <v>S</v>
          </cell>
        </row>
        <row r="19">
          <cell r="A19">
            <v>218000</v>
          </cell>
          <cell r="B19" t="str">
            <v>Materiales para el registro e identificación de bienes y personas</v>
          </cell>
          <cell r="C19" t="str">
            <v>N</v>
          </cell>
        </row>
        <row r="20">
          <cell r="A20">
            <v>218001</v>
          </cell>
          <cell r="B20" t="str">
            <v>Materiales para el registro e identificación de bienes y personas</v>
          </cell>
          <cell r="C20" t="str">
            <v>S</v>
          </cell>
        </row>
        <row r="21">
          <cell r="A21">
            <v>218002</v>
          </cell>
          <cell r="B21" t="str">
            <v>Placas, Engomados, Calcomanías y Hologramas</v>
          </cell>
          <cell r="C21" t="str">
            <v>S</v>
          </cell>
        </row>
        <row r="22">
          <cell r="A22">
            <v>218003</v>
          </cell>
          <cell r="B22" t="str">
            <v>Emisión de Licencias de Conducir</v>
          </cell>
          <cell r="C22" t="str">
            <v>S</v>
          </cell>
        </row>
        <row r="23">
          <cell r="A23">
            <v>218004</v>
          </cell>
          <cell r="B23" t="str">
            <v>Emisión de Formatos Únicos de Control Vehicular</v>
          </cell>
          <cell r="C23" t="str">
            <v>S</v>
          </cell>
        </row>
        <row r="24">
          <cell r="A24">
            <v>220000</v>
          </cell>
          <cell r="B24" t="str">
            <v>ALIMENTOS Y UTENSILIOS</v>
          </cell>
          <cell r="C24" t="str">
            <v>N</v>
          </cell>
        </row>
        <row r="25">
          <cell r="A25">
            <v>221000</v>
          </cell>
          <cell r="B25" t="str">
            <v>Productos alimenticios para personas</v>
          </cell>
          <cell r="C25" t="str">
            <v>N</v>
          </cell>
        </row>
        <row r="26">
          <cell r="A26">
            <v>221001</v>
          </cell>
          <cell r="B26" t="str">
            <v>Alimentación de personas</v>
          </cell>
          <cell r="C26" t="str">
            <v>S</v>
          </cell>
        </row>
        <row r="27">
          <cell r="A27">
            <v>222000</v>
          </cell>
          <cell r="B27" t="str">
            <v>Productos alimenticios para animales</v>
          </cell>
          <cell r="C27" t="str">
            <v>N</v>
          </cell>
        </row>
        <row r="28">
          <cell r="A28">
            <v>222001</v>
          </cell>
          <cell r="B28" t="str">
            <v>Alimentación de animales</v>
          </cell>
          <cell r="C28" t="str">
            <v>S</v>
          </cell>
        </row>
        <row r="29">
          <cell r="A29">
            <v>223000</v>
          </cell>
          <cell r="B29" t="str">
            <v>Utensilios para el servicio de alimentación</v>
          </cell>
          <cell r="C29" t="str">
            <v>N</v>
          </cell>
        </row>
        <row r="30">
          <cell r="A30">
            <v>223001</v>
          </cell>
          <cell r="B30" t="str">
            <v>Utensilios para el servicio de alimentación</v>
          </cell>
          <cell r="C30" t="str">
            <v>S</v>
          </cell>
        </row>
        <row r="31">
          <cell r="A31">
            <v>230000</v>
          </cell>
          <cell r="B31" t="str">
            <v>MATERIAS PRIMAS Y MATERIALES DE PRODUCCIÓN Y COMERCIALIZACIÓN</v>
          </cell>
          <cell r="C31" t="str">
            <v>N</v>
          </cell>
        </row>
        <row r="32">
          <cell r="A32">
            <v>231000</v>
          </cell>
          <cell r="B32" t="str">
            <v>Productos alimenticios, agropecuarios y forestales adquiridos como materia prima</v>
          </cell>
          <cell r="C32" t="str">
            <v>N</v>
          </cell>
        </row>
        <row r="33">
          <cell r="A33">
            <v>231001</v>
          </cell>
          <cell r="B33" t="str">
            <v>Materias primas para producción</v>
          </cell>
          <cell r="C33" t="str">
            <v>S</v>
          </cell>
        </row>
        <row r="34">
          <cell r="A34">
            <v>232000</v>
          </cell>
          <cell r="B34" t="str">
            <v>Insumos textiles adquiridos como materia prima</v>
          </cell>
          <cell r="C34" t="str">
            <v>N</v>
          </cell>
        </row>
        <row r="35">
          <cell r="A35">
            <v>232001</v>
          </cell>
          <cell r="B35" t="str">
            <v>Insumos textiles adquiridos como materia prima</v>
          </cell>
          <cell r="C35" t="str">
            <v>S</v>
          </cell>
        </row>
        <row r="36">
          <cell r="A36">
            <v>233000</v>
          </cell>
          <cell r="B36" t="str">
            <v>Productos de papel, cartón e impresos adquiridos como materia prima</v>
          </cell>
          <cell r="C36" t="str">
            <v>N</v>
          </cell>
        </row>
        <row r="37">
          <cell r="A37">
            <v>233001</v>
          </cell>
          <cell r="B37" t="str">
            <v>Productos de papel, cartón e impresos adquiridos como materia prima</v>
          </cell>
          <cell r="C37" t="str">
            <v>S</v>
          </cell>
        </row>
        <row r="38">
          <cell r="A38">
            <v>234000</v>
          </cell>
          <cell r="B38" t="str">
            <v>Combustibles, lubricantes, aditivos, carbón y sus derivados adquiridos como materia prima</v>
          </cell>
          <cell r="C38" t="str">
            <v>N</v>
          </cell>
        </row>
        <row r="39">
          <cell r="A39">
            <v>234001</v>
          </cell>
          <cell r="B39" t="str">
            <v>Combustibles, lubricantes, aditivos, carbón y sus derivados adquiridos como materia prima</v>
          </cell>
          <cell r="C39" t="str">
            <v>S</v>
          </cell>
        </row>
        <row r="40">
          <cell r="A40">
            <v>235000</v>
          </cell>
          <cell r="B40" t="str">
            <v>Productos químicos, farmacéuticos y de laboratorio adquiridos como materia prima</v>
          </cell>
          <cell r="C40" t="str">
            <v>N</v>
          </cell>
        </row>
        <row r="41">
          <cell r="A41">
            <v>235001</v>
          </cell>
          <cell r="B41" t="str">
            <v>Productos químicos, farmacéuticos y de laboratorio adquiridos como materia prima</v>
          </cell>
          <cell r="C41" t="str">
            <v>S</v>
          </cell>
        </row>
        <row r="42">
          <cell r="A42">
            <v>236000</v>
          </cell>
          <cell r="B42" t="str">
            <v>Productos metálicos y a base de minerales no metálicos adquiridos como materia prima</v>
          </cell>
          <cell r="C42" t="str">
            <v>N</v>
          </cell>
        </row>
        <row r="43">
          <cell r="A43">
            <v>236001</v>
          </cell>
          <cell r="B43" t="str">
            <v>Productos metálicos y a base de minerales no metálicos adquiridos como materia prima</v>
          </cell>
          <cell r="C43" t="str">
            <v>S</v>
          </cell>
        </row>
        <row r="44">
          <cell r="A44">
            <v>237000</v>
          </cell>
          <cell r="B44" t="str">
            <v>Productos de cuero, piel, plástico y hule adquiridos como materia prima</v>
          </cell>
          <cell r="C44" t="str">
            <v>N</v>
          </cell>
        </row>
        <row r="45">
          <cell r="A45">
            <v>237001</v>
          </cell>
          <cell r="B45" t="str">
            <v>Productos de cuero, piel, plástico y hule adquiridos como materia prima</v>
          </cell>
          <cell r="C45" t="str">
            <v>S</v>
          </cell>
        </row>
        <row r="46">
          <cell r="A46">
            <v>238000</v>
          </cell>
          <cell r="B46" t="str">
            <v>Mercancías adquiridas para su comercialización</v>
          </cell>
          <cell r="C46" t="str">
            <v>N</v>
          </cell>
        </row>
        <row r="47">
          <cell r="A47">
            <v>238001</v>
          </cell>
          <cell r="B47" t="str">
            <v>Mercancías adquiridas para su comercialización</v>
          </cell>
          <cell r="C47" t="str">
            <v>S</v>
          </cell>
        </row>
        <row r="48">
          <cell r="A48">
            <v>240000</v>
          </cell>
          <cell r="B48" t="str">
            <v>MATERIALES Y ARTÍCULOS DE CONSTRUCCIÓN Y DE REPARACIÓN</v>
          </cell>
          <cell r="C48" t="str">
            <v>N</v>
          </cell>
        </row>
        <row r="49">
          <cell r="A49">
            <v>241000</v>
          </cell>
          <cell r="B49" t="str">
            <v>Productos minerales no metálicos</v>
          </cell>
          <cell r="C49" t="str">
            <v>N</v>
          </cell>
        </row>
        <row r="50">
          <cell r="A50">
            <v>241001</v>
          </cell>
          <cell r="B50" t="str">
            <v>Productos minerales no metálicos</v>
          </cell>
          <cell r="C50" t="str">
            <v>S</v>
          </cell>
        </row>
        <row r="51">
          <cell r="A51">
            <v>242000</v>
          </cell>
          <cell r="B51" t="str">
            <v>Cemento y productos de concreto</v>
          </cell>
          <cell r="C51" t="str">
            <v>N</v>
          </cell>
        </row>
        <row r="52">
          <cell r="A52">
            <v>242001</v>
          </cell>
          <cell r="B52" t="str">
            <v>Cemento y productos de concreto</v>
          </cell>
          <cell r="C52" t="str">
            <v>S</v>
          </cell>
        </row>
        <row r="53">
          <cell r="A53">
            <v>243000</v>
          </cell>
          <cell r="B53" t="str">
            <v>Cal, yeso y productos de yeso</v>
          </cell>
          <cell r="C53" t="str">
            <v>N</v>
          </cell>
        </row>
        <row r="54">
          <cell r="A54">
            <v>243001</v>
          </cell>
          <cell r="B54" t="str">
            <v>Cal, yeso y productos de yeso</v>
          </cell>
          <cell r="C54" t="str">
            <v>S</v>
          </cell>
        </row>
        <row r="55">
          <cell r="A55">
            <v>244000</v>
          </cell>
          <cell r="B55" t="str">
            <v>Madera y productos de madera</v>
          </cell>
          <cell r="C55" t="str">
            <v>N</v>
          </cell>
        </row>
        <row r="56">
          <cell r="A56">
            <v>244001</v>
          </cell>
          <cell r="B56" t="str">
            <v>Madera y productos de madera</v>
          </cell>
          <cell r="C56" t="str">
            <v>S</v>
          </cell>
        </row>
        <row r="57">
          <cell r="A57">
            <v>245000</v>
          </cell>
          <cell r="B57" t="str">
            <v>Vidrio y productos de vidrio</v>
          </cell>
          <cell r="C57" t="str">
            <v>N</v>
          </cell>
        </row>
        <row r="58">
          <cell r="A58">
            <v>245001</v>
          </cell>
          <cell r="B58" t="str">
            <v>Vidrio y productos de vidrio</v>
          </cell>
          <cell r="C58" t="str">
            <v>S</v>
          </cell>
        </row>
        <row r="59">
          <cell r="A59">
            <v>246000</v>
          </cell>
          <cell r="B59" t="str">
            <v>Material eléctrico y electrónico</v>
          </cell>
          <cell r="C59" t="str">
            <v>N</v>
          </cell>
        </row>
        <row r="60">
          <cell r="A60">
            <v>246001</v>
          </cell>
          <cell r="B60" t="str">
            <v>Material eléctrico</v>
          </cell>
          <cell r="C60" t="str">
            <v>S</v>
          </cell>
        </row>
        <row r="61">
          <cell r="A61">
            <v>246002</v>
          </cell>
          <cell r="B61" t="str">
            <v>Material electrónico</v>
          </cell>
          <cell r="C61" t="str">
            <v>S</v>
          </cell>
        </row>
        <row r="62">
          <cell r="A62">
            <v>247000</v>
          </cell>
          <cell r="B62" t="str">
            <v>Artículos metálicos para la construcción</v>
          </cell>
          <cell r="C62" t="str">
            <v>N</v>
          </cell>
        </row>
        <row r="63">
          <cell r="A63">
            <v>247001</v>
          </cell>
          <cell r="B63" t="str">
            <v>Artículos metálicos para la construcción</v>
          </cell>
          <cell r="C63" t="str">
            <v>S</v>
          </cell>
        </row>
        <row r="64">
          <cell r="A64">
            <v>248000</v>
          </cell>
          <cell r="B64" t="str">
            <v>Materiales complementarios</v>
          </cell>
          <cell r="C64" t="str">
            <v>N</v>
          </cell>
        </row>
        <row r="65">
          <cell r="A65">
            <v>248001</v>
          </cell>
          <cell r="B65" t="str">
            <v>Materiales complementarios</v>
          </cell>
          <cell r="C65" t="str">
            <v>S</v>
          </cell>
        </row>
        <row r="66">
          <cell r="A66">
            <v>249000</v>
          </cell>
          <cell r="B66" t="str">
            <v>Otros materiales y artículos de construcción y reparación</v>
          </cell>
          <cell r="C66" t="str">
            <v>N</v>
          </cell>
        </row>
        <row r="67">
          <cell r="A67">
            <v>249001</v>
          </cell>
          <cell r="B67" t="str">
            <v>Materiales de construcción y complementarios</v>
          </cell>
          <cell r="C67" t="str">
            <v>S</v>
          </cell>
        </row>
        <row r="68">
          <cell r="A68">
            <v>249002</v>
          </cell>
          <cell r="B68" t="str">
            <v>Otros materiales de construcción y reparación</v>
          </cell>
          <cell r="C68" t="str">
            <v>S</v>
          </cell>
        </row>
        <row r="69">
          <cell r="A69">
            <v>250000</v>
          </cell>
          <cell r="B69" t="str">
            <v>PRODUCTOS QUÍMICOS, FARMACÉUTICOS Y DE LABORATORIO</v>
          </cell>
          <cell r="C69" t="str">
            <v>N</v>
          </cell>
        </row>
        <row r="70">
          <cell r="A70">
            <v>251000</v>
          </cell>
          <cell r="B70" t="str">
            <v>Productos químicos básicos</v>
          </cell>
          <cell r="C70" t="str">
            <v>N</v>
          </cell>
        </row>
        <row r="71">
          <cell r="A71">
            <v>251001</v>
          </cell>
          <cell r="B71" t="str">
            <v>Gas Refrigerante</v>
          </cell>
          <cell r="C71" t="str">
            <v>S</v>
          </cell>
        </row>
        <row r="72">
          <cell r="A72">
            <v>252000</v>
          </cell>
          <cell r="B72" t="str">
            <v>Fertilizantes, pesticidas y otros agroquímicos</v>
          </cell>
          <cell r="C72" t="str">
            <v>N</v>
          </cell>
        </row>
        <row r="73">
          <cell r="A73">
            <v>252001</v>
          </cell>
          <cell r="B73" t="str">
            <v>Fertilizantes, pesticidas y otros agroquímicos</v>
          </cell>
          <cell r="C73" t="str">
            <v>S</v>
          </cell>
        </row>
        <row r="74">
          <cell r="A74">
            <v>253000</v>
          </cell>
          <cell r="B74" t="str">
            <v>Medicinas y productos químicos, farmacéuticos</v>
          </cell>
          <cell r="C74" t="str">
            <v>N</v>
          </cell>
        </row>
        <row r="75">
          <cell r="A75">
            <v>253001</v>
          </cell>
          <cell r="B75" t="str">
            <v>Material y productos químicos, farmacéuticos</v>
          </cell>
          <cell r="C75" t="str">
            <v>S</v>
          </cell>
        </row>
        <row r="76">
          <cell r="A76">
            <v>254000</v>
          </cell>
          <cell r="B76" t="str">
            <v>Materiales, accesorios y suministros médicos</v>
          </cell>
          <cell r="C76" t="str">
            <v>N</v>
          </cell>
        </row>
        <row r="77">
          <cell r="A77">
            <v>254001</v>
          </cell>
          <cell r="B77" t="str">
            <v>Materiales, accesorios y suministros médicos</v>
          </cell>
          <cell r="C77" t="str">
            <v>S</v>
          </cell>
        </row>
        <row r="78">
          <cell r="A78">
            <v>255000</v>
          </cell>
          <cell r="B78" t="str">
            <v>Materiales, accesorios y suministros de laboratorio</v>
          </cell>
          <cell r="C78" t="str">
            <v>N</v>
          </cell>
        </row>
        <row r="79">
          <cell r="A79">
            <v>255001</v>
          </cell>
          <cell r="B79" t="str">
            <v>Materiales, accesorios y suministros de laboratorio</v>
          </cell>
          <cell r="C79" t="str">
            <v>S</v>
          </cell>
        </row>
        <row r="80">
          <cell r="A80">
            <v>256000</v>
          </cell>
          <cell r="B80" t="str">
            <v>Fibras sintéticas, hules, plásticos y derivados</v>
          </cell>
          <cell r="C80" t="str">
            <v>N</v>
          </cell>
        </row>
        <row r="81">
          <cell r="A81">
            <v>256001</v>
          </cell>
          <cell r="B81" t="str">
            <v>Fibras sintéticas, hules, plásticos y derivados</v>
          </cell>
          <cell r="C81" t="str">
            <v>S</v>
          </cell>
        </row>
        <row r="82">
          <cell r="A82">
            <v>259000</v>
          </cell>
          <cell r="B82" t="str">
            <v>Otros productos químicos</v>
          </cell>
          <cell r="C82" t="str">
            <v>N</v>
          </cell>
        </row>
        <row r="83">
          <cell r="A83">
            <v>259001</v>
          </cell>
          <cell r="B83" t="str">
            <v>Otros productos químicos</v>
          </cell>
          <cell r="C83" t="str">
            <v>S</v>
          </cell>
        </row>
        <row r="84">
          <cell r="A84">
            <v>260000</v>
          </cell>
          <cell r="B84" t="str">
            <v>COMBUSTIBLES, LUBRICANTES Y ADITIVOS</v>
          </cell>
          <cell r="C84" t="str">
            <v>N</v>
          </cell>
        </row>
        <row r="85">
          <cell r="A85">
            <v>261000</v>
          </cell>
          <cell r="B85" t="str">
            <v>Combustibles, lubricantes y aditivos</v>
          </cell>
          <cell r="C85" t="str">
            <v>N</v>
          </cell>
        </row>
        <row r="86">
          <cell r="A86">
            <v>261001</v>
          </cell>
          <cell r="B86" t="str">
            <v>Combustibles</v>
          </cell>
          <cell r="C86" t="str">
            <v>S</v>
          </cell>
        </row>
        <row r="87">
          <cell r="A87">
            <v>261002</v>
          </cell>
          <cell r="B87" t="str">
            <v>Lubricantes y aditivos</v>
          </cell>
          <cell r="C87" t="str">
            <v>S</v>
          </cell>
        </row>
        <row r="88">
          <cell r="A88">
            <v>262000</v>
          </cell>
          <cell r="B88" t="str">
            <v>Carbón y sus derivados</v>
          </cell>
          <cell r="C88" t="str">
            <v>N</v>
          </cell>
        </row>
        <row r="89">
          <cell r="A89">
            <v>262001</v>
          </cell>
          <cell r="B89" t="str">
            <v>Carbón y sus derivados</v>
          </cell>
          <cell r="C89" t="str">
            <v>S</v>
          </cell>
        </row>
        <row r="90">
          <cell r="A90">
            <v>270000</v>
          </cell>
          <cell r="B90" t="str">
            <v>VESTUARIO, BLANCOS, PRENDAS DE PROTECCIÓN Y ARTÍCULOS DEPORTIVOS</v>
          </cell>
          <cell r="C90" t="str">
            <v>N</v>
          </cell>
        </row>
        <row r="91">
          <cell r="A91">
            <v>271000</v>
          </cell>
          <cell r="B91" t="str">
            <v>Vestuario y uniformes</v>
          </cell>
          <cell r="C91" t="str">
            <v>N</v>
          </cell>
        </row>
        <row r="92">
          <cell r="A92">
            <v>271001</v>
          </cell>
          <cell r="B92" t="str">
            <v>Ropa, vestuario y equipo</v>
          </cell>
          <cell r="C92" t="str">
            <v>S</v>
          </cell>
        </row>
        <row r="93">
          <cell r="A93">
            <v>272000</v>
          </cell>
          <cell r="B93" t="str">
            <v>Prendas de seguridad y protección personal</v>
          </cell>
          <cell r="C93" t="str">
            <v>N</v>
          </cell>
        </row>
        <row r="94">
          <cell r="A94">
            <v>272001</v>
          </cell>
          <cell r="B94" t="str">
            <v>Materiales explosivos y de seguridad pública</v>
          </cell>
          <cell r="C94" t="str">
            <v>S</v>
          </cell>
        </row>
        <row r="95">
          <cell r="A95">
            <v>272002</v>
          </cell>
          <cell r="B95" t="str">
            <v>Prendas de seguridad y protección personal</v>
          </cell>
          <cell r="C95" t="str">
            <v>S</v>
          </cell>
        </row>
        <row r="96">
          <cell r="A96">
            <v>273000</v>
          </cell>
          <cell r="B96" t="str">
            <v>Artículos deportivos</v>
          </cell>
          <cell r="C96" t="str">
            <v>N</v>
          </cell>
        </row>
        <row r="97">
          <cell r="A97">
            <v>273001</v>
          </cell>
          <cell r="B97" t="str">
            <v>Artículos deportivos</v>
          </cell>
          <cell r="C97" t="str">
            <v>S</v>
          </cell>
        </row>
        <row r="98">
          <cell r="A98">
            <v>274000</v>
          </cell>
          <cell r="B98" t="str">
            <v>Productos textiles</v>
          </cell>
          <cell r="C98" t="str">
            <v>N</v>
          </cell>
        </row>
        <row r="99">
          <cell r="A99">
            <v>274001</v>
          </cell>
          <cell r="B99" t="str">
            <v>Productos textiles</v>
          </cell>
          <cell r="C99" t="str">
            <v>S</v>
          </cell>
        </row>
        <row r="100">
          <cell r="A100">
            <v>275000</v>
          </cell>
          <cell r="B100" t="str">
            <v>Blancos y otros productos textiles, excepto prendas de vestir</v>
          </cell>
          <cell r="C100" t="str">
            <v>N</v>
          </cell>
        </row>
        <row r="101">
          <cell r="A101">
            <v>275001</v>
          </cell>
          <cell r="B101" t="str">
            <v>Blancos y otros productos textiles, excepto prendas de vestir</v>
          </cell>
          <cell r="C101" t="str">
            <v>S</v>
          </cell>
        </row>
        <row r="102">
          <cell r="A102">
            <v>280000</v>
          </cell>
          <cell r="B102" t="str">
            <v>MATERIALES Y SUMINISTROS PARA SEGURIDAD</v>
          </cell>
          <cell r="C102" t="str">
            <v>N</v>
          </cell>
        </row>
        <row r="103">
          <cell r="A103">
            <v>281000</v>
          </cell>
          <cell r="B103" t="str">
            <v>Sustancias y materiales explosivos</v>
          </cell>
          <cell r="C103" t="str">
            <v>N</v>
          </cell>
        </row>
        <row r="104">
          <cell r="A104">
            <v>281001</v>
          </cell>
          <cell r="B104" t="str">
            <v>Sustancias y materiales explosivos</v>
          </cell>
          <cell r="C104" t="str">
            <v>S</v>
          </cell>
        </row>
        <row r="105">
          <cell r="A105">
            <v>282000</v>
          </cell>
          <cell r="B105" t="str">
            <v>Materiales de seguridad pública</v>
          </cell>
          <cell r="C105" t="str">
            <v>N</v>
          </cell>
        </row>
        <row r="106">
          <cell r="A106">
            <v>282001</v>
          </cell>
          <cell r="B106" t="str">
            <v>Materiales de seguridad pública</v>
          </cell>
          <cell r="C106" t="str">
            <v>S</v>
          </cell>
        </row>
        <row r="107">
          <cell r="A107">
            <v>283000</v>
          </cell>
          <cell r="B107" t="str">
            <v>Prendas de protección para seguridad pública y nacional</v>
          </cell>
          <cell r="C107" t="str">
            <v>N</v>
          </cell>
        </row>
        <row r="108">
          <cell r="A108">
            <v>283001</v>
          </cell>
          <cell r="B108" t="str">
            <v>Prendas de protección para seguridad pública</v>
          </cell>
          <cell r="C108" t="str">
            <v>S</v>
          </cell>
        </row>
        <row r="109">
          <cell r="A109">
            <v>290000</v>
          </cell>
          <cell r="B109" t="str">
            <v>HERRAMIENTAS, REFACCIONES Y ACCESORIOS MENORES</v>
          </cell>
          <cell r="C109" t="str">
            <v>N</v>
          </cell>
        </row>
        <row r="110">
          <cell r="A110">
            <v>291000</v>
          </cell>
          <cell r="B110" t="str">
            <v>Herramientas menores</v>
          </cell>
          <cell r="C110" t="str">
            <v>N</v>
          </cell>
        </row>
        <row r="111">
          <cell r="A111">
            <v>291001</v>
          </cell>
          <cell r="B111" t="str">
            <v>Herramientas Auxiliares de Trabajo</v>
          </cell>
          <cell r="C111" t="str">
            <v>S</v>
          </cell>
        </row>
        <row r="112">
          <cell r="A112">
            <v>292000</v>
          </cell>
          <cell r="B112" t="str">
            <v>Refacciones y accesorios menores de edificios</v>
          </cell>
          <cell r="C112" t="str">
            <v>N</v>
          </cell>
        </row>
        <row r="113">
          <cell r="A113">
            <v>292001</v>
          </cell>
          <cell r="B113" t="str">
            <v>Refacciones y accesorios menores de edificios (candados, cerraduras, chapas, llaves)</v>
          </cell>
          <cell r="C113" t="str">
            <v>S</v>
          </cell>
        </row>
        <row r="114">
          <cell r="A114">
            <v>293000</v>
          </cell>
          <cell r="B114" t="str">
            <v>Refacciones y accesorios menores de mobiliario y equipo de administración, educacional y recreativo</v>
          </cell>
          <cell r="C114" t="str">
            <v>N</v>
          </cell>
        </row>
        <row r="115">
          <cell r="A115">
            <v>293001</v>
          </cell>
          <cell r="B115" t="str">
            <v>Refacciones y accesorios menores de mobiliario y equipo de administración, educacional y recreativo</v>
          </cell>
          <cell r="C115" t="str">
            <v>S</v>
          </cell>
        </row>
        <row r="116">
          <cell r="A116">
            <v>294000</v>
          </cell>
          <cell r="B116" t="str">
            <v>Refacciones y accesorios menores de equipo de cómputo y tecnologías de la información</v>
          </cell>
          <cell r="C116" t="str">
            <v>N</v>
          </cell>
        </row>
        <row r="117">
          <cell r="A117">
            <v>294001</v>
          </cell>
          <cell r="B117" t="str">
            <v>Dispositivos Internos y Externos de Equipo de Computo</v>
          </cell>
          <cell r="C117" t="str">
            <v>S</v>
          </cell>
        </row>
        <row r="118">
          <cell r="A118">
            <v>294002</v>
          </cell>
          <cell r="B118" t="str">
            <v>Refacciones y Accesorios Menores de Equipo de Computo</v>
          </cell>
          <cell r="C118" t="str">
            <v>S</v>
          </cell>
        </row>
        <row r="119">
          <cell r="A119">
            <v>295000</v>
          </cell>
          <cell r="B119" t="str">
            <v>Refacciones y accesorios menores de equipo e instrumental médico y de laboratorio</v>
          </cell>
          <cell r="C119" t="str">
            <v>N</v>
          </cell>
        </row>
        <row r="120">
          <cell r="A120">
            <v>295001</v>
          </cell>
          <cell r="B120" t="str">
            <v>Refacciones y accesorios menores de equipo e instrumental médico y de laboratorio</v>
          </cell>
          <cell r="C120" t="str">
            <v>S</v>
          </cell>
        </row>
        <row r="121">
          <cell r="A121">
            <v>296000</v>
          </cell>
          <cell r="B121" t="str">
            <v>Refacciones y accesorios menores de equipo de transporte</v>
          </cell>
          <cell r="C121" t="str">
            <v>N</v>
          </cell>
        </row>
        <row r="122">
          <cell r="A122">
            <v>296001</v>
          </cell>
          <cell r="B122" t="str">
            <v>Herramientas, refacciones y accesorios</v>
          </cell>
          <cell r="C122" t="str">
            <v>S</v>
          </cell>
        </row>
        <row r="123">
          <cell r="A123">
            <v>297000</v>
          </cell>
          <cell r="B123" t="str">
            <v>Refacciones y accesorios menores de equipo de defensa y seguridad</v>
          </cell>
          <cell r="C123" t="str">
            <v>N</v>
          </cell>
        </row>
        <row r="124">
          <cell r="A124">
            <v>297001</v>
          </cell>
          <cell r="B124" t="str">
            <v>Refacciones y accesorios menores de equipo de defensa y seguridad</v>
          </cell>
          <cell r="C124" t="str">
            <v>S</v>
          </cell>
        </row>
        <row r="125">
          <cell r="A125">
            <v>298000</v>
          </cell>
          <cell r="B125" t="str">
            <v>Refacciones y accesorios menores de maquinaria y otros equipos</v>
          </cell>
          <cell r="C125" t="str">
            <v>N</v>
          </cell>
        </row>
        <row r="126">
          <cell r="A126">
            <v>298001</v>
          </cell>
          <cell r="B126" t="str">
            <v>Refacciones y accesorios menores de maquinaria y otros equipos</v>
          </cell>
          <cell r="C126" t="str">
            <v>S</v>
          </cell>
        </row>
        <row r="127">
          <cell r="A127">
            <v>299000</v>
          </cell>
          <cell r="B127" t="str">
            <v>Refacciones y accesorios menores otros bienes muebles</v>
          </cell>
          <cell r="C127" t="str">
            <v>N</v>
          </cell>
        </row>
        <row r="128">
          <cell r="A128">
            <v>299001</v>
          </cell>
          <cell r="B128" t="str">
            <v>Refacciones y accesorios menores otros bienes muebles</v>
          </cell>
          <cell r="C128" t="str">
            <v>S</v>
          </cell>
        </row>
        <row r="129">
          <cell r="A129">
            <v>300000</v>
          </cell>
          <cell r="B129" t="str">
            <v>SERVICIOS GENERALES</v>
          </cell>
          <cell r="C129" t="str">
            <v>N</v>
          </cell>
        </row>
        <row r="130">
          <cell r="A130">
            <v>310000</v>
          </cell>
          <cell r="B130" t="str">
            <v>SERVICIOS BÁSICOS</v>
          </cell>
          <cell r="C130" t="str">
            <v>N</v>
          </cell>
        </row>
        <row r="131">
          <cell r="A131">
            <v>311000</v>
          </cell>
          <cell r="B131" t="str">
            <v>Energía eléctrica</v>
          </cell>
          <cell r="C131" t="str">
            <v>N</v>
          </cell>
        </row>
        <row r="132">
          <cell r="A132">
            <v>311001</v>
          </cell>
          <cell r="B132" t="str">
            <v>Servicio de energía eléctrica</v>
          </cell>
          <cell r="C132" t="str">
            <v>S</v>
          </cell>
        </row>
        <row r="133">
          <cell r="A133">
            <v>311002</v>
          </cell>
          <cell r="B133" t="str">
            <v>Contratación del servicio de energía eléctrica</v>
          </cell>
          <cell r="C133" t="str">
            <v>S</v>
          </cell>
        </row>
        <row r="134">
          <cell r="A134">
            <v>312000</v>
          </cell>
          <cell r="B134" t="str">
            <v>Gas</v>
          </cell>
          <cell r="C134" t="str">
            <v>N</v>
          </cell>
        </row>
        <row r="135">
          <cell r="A135">
            <v>312001</v>
          </cell>
          <cell r="B135" t="str">
            <v>Servicio de Gas L.P.</v>
          </cell>
          <cell r="C135" t="str">
            <v>S</v>
          </cell>
        </row>
        <row r="136">
          <cell r="A136">
            <v>313000</v>
          </cell>
          <cell r="B136" t="str">
            <v>Agua</v>
          </cell>
          <cell r="C136" t="str">
            <v>N</v>
          </cell>
        </row>
        <row r="137">
          <cell r="A137">
            <v>313001</v>
          </cell>
          <cell r="B137" t="str">
            <v>Servicio de agua potable</v>
          </cell>
          <cell r="C137" t="str">
            <v>S</v>
          </cell>
        </row>
        <row r="138">
          <cell r="A138">
            <v>313002</v>
          </cell>
          <cell r="B138" t="str">
            <v>Contratación del servicio de agua potable</v>
          </cell>
          <cell r="C138" t="str">
            <v>S</v>
          </cell>
        </row>
        <row r="139">
          <cell r="A139">
            <v>314000</v>
          </cell>
          <cell r="B139" t="str">
            <v>Telefonía tradicional</v>
          </cell>
          <cell r="C139" t="str">
            <v>N</v>
          </cell>
        </row>
        <row r="140">
          <cell r="A140">
            <v>314001</v>
          </cell>
          <cell r="B140" t="str">
            <v>Servicio telefónico</v>
          </cell>
          <cell r="C140" t="str">
            <v>S</v>
          </cell>
        </row>
        <row r="141">
          <cell r="A141">
            <v>315000</v>
          </cell>
          <cell r="B141" t="str">
            <v>Telefonía celular</v>
          </cell>
          <cell r="C141" t="str">
            <v>N</v>
          </cell>
        </row>
        <row r="142">
          <cell r="A142">
            <v>315001</v>
          </cell>
          <cell r="B142" t="str">
            <v>Telefonía celular</v>
          </cell>
          <cell r="C142" t="str">
            <v>S</v>
          </cell>
        </row>
        <row r="143">
          <cell r="A143">
            <v>316000</v>
          </cell>
          <cell r="B143" t="str">
            <v>Servicios de telecomunicaciones y satélites</v>
          </cell>
          <cell r="C143" t="str">
            <v>N</v>
          </cell>
        </row>
        <row r="144">
          <cell r="A144">
            <v>316001</v>
          </cell>
          <cell r="B144" t="str">
            <v>Servicios de telecomunicaciones y satélites</v>
          </cell>
          <cell r="C144" t="str">
            <v>S</v>
          </cell>
        </row>
        <row r="145">
          <cell r="A145">
            <v>317000</v>
          </cell>
          <cell r="B145" t="str">
            <v>Servicios de acceso de Internet, redes y procesamiento de información</v>
          </cell>
          <cell r="C145" t="str">
            <v>N</v>
          </cell>
        </row>
        <row r="146">
          <cell r="A146">
            <v>317001</v>
          </cell>
          <cell r="B146" t="str">
            <v>Servicios de acceso de Internet, redes y procesamiento de información</v>
          </cell>
          <cell r="C146" t="str">
            <v>S</v>
          </cell>
        </row>
        <row r="147">
          <cell r="A147">
            <v>318000</v>
          </cell>
          <cell r="B147" t="str">
            <v>Servicios postales y telegráficos</v>
          </cell>
          <cell r="C147" t="str">
            <v>N</v>
          </cell>
        </row>
        <row r="148">
          <cell r="A148">
            <v>318001</v>
          </cell>
          <cell r="B148" t="str">
            <v>Servicio postal y telegráfico</v>
          </cell>
          <cell r="C148" t="str">
            <v>S</v>
          </cell>
        </row>
        <row r="149">
          <cell r="A149">
            <v>319000</v>
          </cell>
          <cell r="B149" t="str">
            <v>Servicios integrales y otros servicios</v>
          </cell>
          <cell r="C149" t="str">
            <v>N</v>
          </cell>
        </row>
        <row r="150">
          <cell r="A150">
            <v>319001</v>
          </cell>
          <cell r="B150" t="str">
            <v>Servicios Integrales</v>
          </cell>
          <cell r="C150" t="str">
            <v>S</v>
          </cell>
        </row>
        <row r="151">
          <cell r="A151">
            <v>320000</v>
          </cell>
          <cell r="B151" t="str">
            <v>SERVICIOS DE ARRENDAMIENTO</v>
          </cell>
          <cell r="C151" t="str">
            <v>N</v>
          </cell>
        </row>
        <row r="152">
          <cell r="A152">
            <v>321000</v>
          </cell>
          <cell r="B152" t="str">
            <v>Arrendamiento de terrenos</v>
          </cell>
          <cell r="C152" t="str">
            <v>N</v>
          </cell>
        </row>
        <row r="153">
          <cell r="A153">
            <v>321001</v>
          </cell>
          <cell r="B153" t="str">
            <v>Arrendamiento de terrenos</v>
          </cell>
          <cell r="C153" t="str">
            <v>S</v>
          </cell>
        </row>
        <row r="154">
          <cell r="A154">
            <v>322000</v>
          </cell>
          <cell r="B154" t="str">
            <v>Arrendamiento de edificios</v>
          </cell>
          <cell r="C154" t="str">
            <v>N</v>
          </cell>
        </row>
        <row r="155">
          <cell r="A155">
            <v>322001</v>
          </cell>
          <cell r="B155" t="str">
            <v>Arrendamiento de edificios</v>
          </cell>
          <cell r="C155" t="str">
            <v>S</v>
          </cell>
        </row>
        <row r="156">
          <cell r="A156">
            <v>323000</v>
          </cell>
          <cell r="B156" t="str">
            <v>Arrendamiento de mobiliario y equipo de administración, educacional y recreativo</v>
          </cell>
          <cell r="C156" t="str">
            <v>N</v>
          </cell>
        </row>
        <row r="157">
          <cell r="A157">
            <v>323001</v>
          </cell>
          <cell r="B157" t="str">
            <v>Arrendamiento de maquinaria y equipo</v>
          </cell>
          <cell r="C157" t="str">
            <v>S</v>
          </cell>
        </row>
        <row r="158">
          <cell r="A158">
            <v>323002</v>
          </cell>
          <cell r="B158" t="str">
            <v>Arrendamiento de maquinaria y equipo de Administración</v>
          </cell>
          <cell r="C158" t="str">
            <v>S</v>
          </cell>
        </row>
        <row r="159">
          <cell r="A159">
            <v>323003</v>
          </cell>
          <cell r="B159" t="str">
            <v>Arrendamiento de Equipo Educacional y Recreativo</v>
          </cell>
          <cell r="C159" t="str">
            <v>S</v>
          </cell>
        </row>
        <row r="160">
          <cell r="A160">
            <v>323004</v>
          </cell>
          <cell r="B160" t="str">
            <v>Arrendamiento de Mobiliario y Equipo</v>
          </cell>
          <cell r="C160" t="str">
            <v>S</v>
          </cell>
        </row>
        <row r="161">
          <cell r="A161">
            <v>324000</v>
          </cell>
          <cell r="B161" t="str">
            <v>Arrendamiento de equipo e instrumental médico y de laboratorio</v>
          </cell>
          <cell r="C161" t="str">
            <v>N</v>
          </cell>
        </row>
        <row r="162">
          <cell r="A162">
            <v>324001</v>
          </cell>
          <cell r="B162" t="str">
            <v>Arrendamiento de equipo e instrumental médico y de laboratorio</v>
          </cell>
          <cell r="C162" t="str">
            <v>S</v>
          </cell>
        </row>
        <row r="163">
          <cell r="A163">
            <v>325000</v>
          </cell>
          <cell r="B163" t="str">
            <v>Arrendamiento de equipo de transporte</v>
          </cell>
          <cell r="C163" t="str">
            <v>N</v>
          </cell>
        </row>
        <row r="164">
          <cell r="A164">
            <v>325001</v>
          </cell>
          <cell r="B164" t="str">
            <v>Arrendamiento de equipo de transporte</v>
          </cell>
          <cell r="C164" t="str">
            <v>S</v>
          </cell>
        </row>
        <row r="165">
          <cell r="A165">
            <v>326000</v>
          </cell>
          <cell r="B165" t="str">
            <v>Arrendamiento de maquinaria, otros equipos y herramientas</v>
          </cell>
          <cell r="C165" t="str">
            <v>N</v>
          </cell>
        </row>
        <row r="166">
          <cell r="A166">
            <v>326001</v>
          </cell>
          <cell r="B166" t="str">
            <v>Arrendamiento de maquinaria, otros equipos y herramientas</v>
          </cell>
          <cell r="C166" t="str">
            <v>S</v>
          </cell>
        </row>
        <row r="167">
          <cell r="A167">
            <v>327000</v>
          </cell>
          <cell r="B167" t="str">
            <v>Arrendamiento de activos intangibles</v>
          </cell>
          <cell r="C167" t="str">
            <v>N</v>
          </cell>
        </row>
        <row r="168">
          <cell r="A168">
            <v>327001</v>
          </cell>
          <cell r="B168" t="str">
            <v>Arrendamiento de activos intangibles</v>
          </cell>
          <cell r="C168" t="str">
            <v>S</v>
          </cell>
        </row>
        <row r="169">
          <cell r="A169">
            <v>328000</v>
          </cell>
          <cell r="B169" t="str">
            <v>Arrendamiento financiero</v>
          </cell>
          <cell r="C169" t="str">
            <v>N</v>
          </cell>
        </row>
        <row r="170">
          <cell r="A170">
            <v>328001</v>
          </cell>
          <cell r="B170" t="str">
            <v>Arrendamiento financiero</v>
          </cell>
          <cell r="C170" t="str">
            <v>S</v>
          </cell>
        </row>
        <row r="171">
          <cell r="A171">
            <v>328002</v>
          </cell>
          <cell r="B171" t="str">
            <v>Programa Estatal de Arrendamiento Vehicular</v>
          </cell>
          <cell r="C171" t="str">
            <v>S</v>
          </cell>
        </row>
        <row r="172">
          <cell r="A172">
            <v>329000</v>
          </cell>
          <cell r="B172" t="str">
            <v>Otros arrendamientos</v>
          </cell>
          <cell r="C172" t="str">
            <v>N</v>
          </cell>
        </row>
        <row r="173">
          <cell r="A173">
            <v>329001</v>
          </cell>
          <cell r="B173" t="str">
            <v>Arrendamientos especiales</v>
          </cell>
          <cell r="C173" t="str">
            <v>S</v>
          </cell>
        </row>
        <row r="174">
          <cell r="A174">
            <v>330000</v>
          </cell>
          <cell r="B174" t="str">
            <v>SERVICIOS PROFESIONALES, CIENTÍFICOS, TÉCNICOS Y OTROS SERVICIOS</v>
          </cell>
          <cell r="C174" t="str">
            <v>N</v>
          </cell>
        </row>
        <row r="175">
          <cell r="A175">
            <v>331000</v>
          </cell>
          <cell r="B175" t="str">
            <v>Servicios legales, de contabilidad, auditoría y relacionados</v>
          </cell>
          <cell r="C175" t="str">
            <v>N</v>
          </cell>
        </row>
        <row r="176">
          <cell r="A176">
            <v>331001</v>
          </cell>
          <cell r="B176" t="str">
            <v>Asesorías</v>
          </cell>
          <cell r="C176" t="str">
            <v>S</v>
          </cell>
        </row>
        <row r="177">
          <cell r="A177">
            <v>331002</v>
          </cell>
          <cell r="B177" t="str">
            <v>Servicios Notariales</v>
          </cell>
          <cell r="C177" t="str">
            <v>S</v>
          </cell>
        </row>
        <row r="178">
          <cell r="A178">
            <v>331003</v>
          </cell>
          <cell r="B178" t="str">
            <v>Consultoría y Gestión</v>
          </cell>
          <cell r="C178" t="str">
            <v>S</v>
          </cell>
        </row>
        <row r="179">
          <cell r="A179">
            <v>332000</v>
          </cell>
          <cell r="B179" t="str">
            <v>Servicios de diseño, arquitectura, ingeniería y actividades relacionadas</v>
          </cell>
          <cell r="C179" t="str">
            <v>N</v>
          </cell>
        </row>
        <row r="180">
          <cell r="A180">
            <v>332001</v>
          </cell>
          <cell r="B180" t="str">
            <v>Servicios de diseño, arquitectura, ingeniería y actividades relacionadas</v>
          </cell>
          <cell r="C180" t="str">
            <v>S</v>
          </cell>
        </row>
        <row r="181">
          <cell r="A181">
            <v>333000</v>
          </cell>
          <cell r="B181" t="str">
            <v>Servicios de consultoría administrativa, procesos, técnica y en tecnologías de la información</v>
          </cell>
          <cell r="C181" t="str">
            <v>N</v>
          </cell>
        </row>
        <row r="182">
          <cell r="A182">
            <v>333001</v>
          </cell>
          <cell r="B182" t="str">
            <v>Estudios e investigaciones</v>
          </cell>
          <cell r="C182" t="str">
            <v>S</v>
          </cell>
        </row>
        <row r="183">
          <cell r="A183">
            <v>333002</v>
          </cell>
          <cell r="B183" t="str">
            <v>Sistematización de la Armonización Contable y Presupuestal</v>
          </cell>
          <cell r="C183" t="str">
            <v>S</v>
          </cell>
        </row>
        <row r="184">
          <cell r="A184">
            <v>333003</v>
          </cell>
          <cell r="B184" t="str">
            <v>Servicios de consultoría administrativa, procesos, técnica y en tecnologías de la información</v>
          </cell>
          <cell r="C184" t="str">
            <v>S</v>
          </cell>
        </row>
        <row r="185">
          <cell r="A185">
            <v>334000</v>
          </cell>
          <cell r="B185" t="str">
            <v>Servicios de capacitación</v>
          </cell>
          <cell r="C185" t="str">
            <v>N</v>
          </cell>
        </row>
        <row r="186">
          <cell r="A186">
            <v>334001</v>
          </cell>
          <cell r="B186" t="str">
            <v>Cuotas e inscripciones</v>
          </cell>
          <cell r="C186" t="str">
            <v>S</v>
          </cell>
        </row>
        <row r="187">
          <cell r="A187">
            <v>334002</v>
          </cell>
          <cell r="B187" t="str">
            <v>Servicios de Capacitación</v>
          </cell>
          <cell r="C187" t="str">
            <v>S</v>
          </cell>
        </row>
        <row r="188">
          <cell r="A188">
            <v>335000</v>
          </cell>
          <cell r="B188" t="str">
            <v>Servicios de investigación científica y desarrollo</v>
          </cell>
          <cell r="C188" t="str">
            <v>N</v>
          </cell>
        </row>
        <row r="189">
          <cell r="A189">
            <v>335001</v>
          </cell>
          <cell r="B189" t="str">
            <v>Servicios de investigación científica y desarrollo</v>
          </cell>
          <cell r="C189" t="str">
            <v>S</v>
          </cell>
        </row>
        <row r="190">
          <cell r="A190">
            <v>336000</v>
          </cell>
          <cell r="B190" t="str">
            <v>Servicios de apoyo administrativo, traducción, fotocopiado e impresión</v>
          </cell>
          <cell r="C190" t="str">
            <v>N</v>
          </cell>
        </row>
        <row r="191">
          <cell r="A191">
            <v>336001</v>
          </cell>
          <cell r="B191" t="str">
            <v>Servicio de Fotocopiado, Enmicado y Encuadernación de Documentos.</v>
          </cell>
          <cell r="C191" t="str">
            <v>S</v>
          </cell>
        </row>
        <row r="192">
          <cell r="A192">
            <v>336002</v>
          </cell>
          <cell r="B192" t="str">
            <v>Servicio de Impresión y Elaboración de Material Informativo</v>
          </cell>
          <cell r="C192" t="str">
            <v>S</v>
          </cell>
        </row>
        <row r="193">
          <cell r="A193">
            <v>337000</v>
          </cell>
          <cell r="B193" t="str">
            <v>Servicios de protección y seguridad</v>
          </cell>
          <cell r="C193" t="str">
            <v>N</v>
          </cell>
        </row>
        <row r="194">
          <cell r="A194">
            <v>337001</v>
          </cell>
          <cell r="B194" t="str">
            <v>Dispositivo de seguridad pública</v>
          </cell>
          <cell r="C194" t="str">
            <v>S</v>
          </cell>
        </row>
        <row r="195">
          <cell r="A195">
            <v>338000</v>
          </cell>
          <cell r="B195" t="str">
            <v>Servicios de vigilancia</v>
          </cell>
          <cell r="C195" t="str">
            <v>N</v>
          </cell>
        </row>
        <row r="196">
          <cell r="A196">
            <v>338001</v>
          </cell>
          <cell r="B196" t="str">
            <v>Servicio de seguridad privada</v>
          </cell>
          <cell r="C196" t="str">
            <v>S</v>
          </cell>
        </row>
        <row r="197">
          <cell r="A197">
            <v>339000</v>
          </cell>
          <cell r="B197" t="str">
            <v>Servicios profesionales, científicos y técnicos integrales</v>
          </cell>
          <cell r="C197" t="str">
            <v>N</v>
          </cell>
        </row>
        <row r="198">
          <cell r="A198">
            <v>339001</v>
          </cell>
          <cell r="B198" t="str">
            <v>Servicios profesionales, científicos y técnicos integrales</v>
          </cell>
          <cell r="C198" t="str">
            <v>S</v>
          </cell>
        </row>
        <row r="199">
          <cell r="A199">
            <v>340000</v>
          </cell>
          <cell r="B199" t="str">
            <v>SERVICIOS FINANCIEROS, BANCARIOS Y COMERCIALES</v>
          </cell>
          <cell r="C199" t="str">
            <v>N</v>
          </cell>
        </row>
        <row r="200">
          <cell r="A200">
            <v>341000</v>
          </cell>
          <cell r="B200" t="str">
            <v>Servicios financieros y bancarios</v>
          </cell>
          <cell r="C200" t="str">
            <v>N</v>
          </cell>
        </row>
        <row r="201">
          <cell r="A201">
            <v>341001</v>
          </cell>
          <cell r="B201" t="str">
            <v>Comisiones, descuentos y otros servicios bancarios</v>
          </cell>
          <cell r="C201" t="str">
            <v>S</v>
          </cell>
        </row>
        <row r="202">
          <cell r="A202">
            <v>342000</v>
          </cell>
          <cell r="B202" t="str">
            <v>Servicios de cobranza, investigación crediticia y similar</v>
          </cell>
          <cell r="C202" t="str">
            <v>N</v>
          </cell>
        </row>
        <row r="203">
          <cell r="A203">
            <v>342001</v>
          </cell>
          <cell r="B203" t="str">
            <v>Servicios de cobranza, investigación crediticia y similar</v>
          </cell>
          <cell r="C203" t="str">
            <v>S</v>
          </cell>
        </row>
        <row r="204">
          <cell r="A204">
            <v>343000</v>
          </cell>
          <cell r="B204" t="str">
            <v>Servicios de recaudación, traslado y custodia de valores</v>
          </cell>
          <cell r="C204" t="str">
            <v>N</v>
          </cell>
        </row>
        <row r="205">
          <cell r="A205">
            <v>343001</v>
          </cell>
          <cell r="B205" t="str">
            <v>Servicios de recaudación, traslado y custodia de valores</v>
          </cell>
          <cell r="C205" t="str">
            <v>S</v>
          </cell>
        </row>
        <row r="206">
          <cell r="A206">
            <v>344000</v>
          </cell>
          <cell r="B206" t="str">
            <v>Seguros de responsabilidad patrimonial y fianzas</v>
          </cell>
          <cell r="C206" t="str">
            <v>N</v>
          </cell>
        </row>
        <row r="207">
          <cell r="A207">
            <v>344001</v>
          </cell>
          <cell r="B207" t="str">
            <v>Seguros de responsabilidad patrimonial y fianzas</v>
          </cell>
          <cell r="C207" t="str">
            <v>S</v>
          </cell>
        </row>
        <row r="208">
          <cell r="A208">
            <v>345000</v>
          </cell>
          <cell r="B208" t="str">
            <v>Seguro de bienes patrimoniales</v>
          </cell>
          <cell r="C208" t="str">
            <v>N</v>
          </cell>
        </row>
        <row r="209">
          <cell r="A209">
            <v>345001</v>
          </cell>
          <cell r="B209" t="str">
            <v>Seguros</v>
          </cell>
          <cell r="C209" t="str">
            <v>S</v>
          </cell>
        </row>
        <row r="210">
          <cell r="A210">
            <v>346000</v>
          </cell>
          <cell r="B210" t="str">
            <v>Almacenaje, envase y embalaje</v>
          </cell>
          <cell r="C210" t="str">
            <v>N</v>
          </cell>
        </row>
        <row r="211">
          <cell r="A211">
            <v>346001</v>
          </cell>
          <cell r="B211" t="str">
            <v>Almacenaje, envase y embalaje</v>
          </cell>
          <cell r="C211" t="str">
            <v>S</v>
          </cell>
        </row>
        <row r="212">
          <cell r="A212">
            <v>347000</v>
          </cell>
          <cell r="B212" t="str">
            <v>Fletes y maniobras</v>
          </cell>
          <cell r="C212" t="str">
            <v>N</v>
          </cell>
        </row>
        <row r="213">
          <cell r="A213">
            <v>347001</v>
          </cell>
          <cell r="B213" t="str">
            <v>Fletes, maniobras y almacenaje</v>
          </cell>
          <cell r="C213" t="str">
            <v>S</v>
          </cell>
        </row>
        <row r="214">
          <cell r="A214">
            <v>348000</v>
          </cell>
          <cell r="B214" t="str">
            <v>Comisiones por ventas</v>
          </cell>
          <cell r="C214" t="str">
            <v>N</v>
          </cell>
        </row>
        <row r="215">
          <cell r="A215">
            <v>348001</v>
          </cell>
          <cell r="B215" t="str">
            <v>Comisiones por ventas</v>
          </cell>
          <cell r="C215" t="str">
            <v>S</v>
          </cell>
        </row>
        <row r="216">
          <cell r="A216">
            <v>349000</v>
          </cell>
          <cell r="B216" t="str">
            <v>Servicios financieros, bancarios y comerciales integrales</v>
          </cell>
          <cell r="C216" t="str">
            <v>N</v>
          </cell>
        </row>
        <row r="217">
          <cell r="A217">
            <v>349001</v>
          </cell>
          <cell r="B217" t="str">
            <v>Servicios financieros, bancarios y comerciales integrales</v>
          </cell>
          <cell r="C217" t="str">
            <v>S</v>
          </cell>
        </row>
        <row r="218">
          <cell r="A218">
            <v>350000</v>
          </cell>
          <cell r="B218" t="str">
            <v>SERVICIOS DE INSTALACIÓN, REPARACIÓN, MANTENIMIENTO Y CONSERVACIÓN</v>
          </cell>
          <cell r="C218" t="str">
            <v>N</v>
          </cell>
        </row>
        <row r="219">
          <cell r="A219">
            <v>351000</v>
          </cell>
          <cell r="B219" t="str">
            <v>Conservación y mantenimiento menor de inmuebles</v>
          </cell>
          <cell r="C219" t="str">
            <v>N</v>
          </cell>
        </row>
        <row r="220">
          <cell r="A220">
            <v>351001</v>
          </cell>
          <cell r="B220" t="str">
            <v>Mantenimiento de inmuebles</v>
          </cell>
          <cell r="C220" t="str">
            <v>S</v>
          </cell>
        </row>
        <row r="221">
          <cell r="A221">
            <v>351002</v>
          </cell>
          <cell r="B221" t="str">
            <v>Fumigación de Inmuebles</v>
          </cell>
          <cell r="C221" t="str">
            <v>S</v>
          </cell>
        </row>
        <row r="222">
          <cell r="A222">
            <v>351003</v>
          </cell>
          <cell r="B222" t="str">
            <v>Mantto. y Conserv. de Inmuebles Sub Proc. Zona Norte</v>
          </cell>
          <cell r="C222" t="str">
            <v>S</v>
          </cell>
        </row>
        <row r="223">
          <cell r="A223">
            <v>352000</v>
          </cell>
          <cell r="B223" t="str">
            <v>Instalación, reparación y mantenimiento de mobiliario y equipo de administración, educacional y recreativo</v>
          </cell>
          <cell r="C223" t="str">
            <v>N</v>
          </cell>
        </row>
        <row r="224">
          <cell r="A224">
            <v>352001</v>
          </cell>
          <cell r="B224" t="str">
            <v>Mantenimiento de mobiliario y equipo</v>
          </cell>
          <cell r="C224" t="str">
            <v>S</v>
          </cell>
        </row>
        <row r="225">
          <cell r="A225">
            <v>352002</v>
          </cell>
          <cell r="B225" t="str">
            <v>Gastos de instalación</v>
          </cell>
          <cell r="C225" t="str">
            <v>S</v>
          </cell>
        </row>
        <row r="226">
          <cell r="A226">
            <v>352003</v>
          </cell>
          <cell r="B226" t="str">
            <v>Mantto. y Conservación Archivo General de Notarias del Gob. del Edo.</v>
          </cell>
          <cell r="C226" t="str">
            <v>S</v>
          </cell>
        </row>
        <row r="227">
          <cell r="A227">
            <v>353000</v>
          </cell>
          <cell r="B227" t="str">
            <v>Instalación, reparación y mantenimiento de equipo de cómputo y tecnología de la información</v>
          </cell>
          <cell r="C227" t="str">
            <v>N</v>
          </cell>
        </row>
        <row r="228">
          <cell r="A228">
            <v>353001</v>
          </cell>
          <cell r="B228" t="str">
            <v>Instalación, reparación y mantenimiento de equipo de cómputo y tecnología  de la información</v>
          </cell>
          <cell r="C228" t="str">
            <v>S</v>
          </cell>
        </row>
        <row r="229">
          <cell r="A229">
            <v>354000</v>
          </cell>
          <cell r="B229" t="str">
            <v>Instalación, reparación y mantenimiento de equipo e instrumental médico y de laboratorio</v>
          </cell>
          <cell r="C229" t="str">
            <v>N</v>
          </cell>
        </row>
        <row r="230">
          <cell r="A230">
            <v>354001</v>
          </cell>
          <cell r="B230" t="str">
            <v>Instalación, reparación y mantenimiento de equipo e instrumental médico y de laboratorio</v>
          </cell>
          <cell r="C230" t="str">
            <v>S</v>
          </cell>
        </row>
        <row r="231">
          <cell r="A231">
            <v>355000</v>
          </cell>
          <cell r="B231" t="str">
            <v>Reparación y mantenimiento de equipo de transporte</v>
          </cell>
          <cell r="C231" t="str">
            <v>N</v>
          </cell>
        </row>
        <row r="232">
          <cell r="A232">
            <v>355001</v>
          </cell>
          <cell r="B232" t="str">
            <v>Mantto. y conservación de vehículos terrestres, aéreos, marítimos, lacustres y fluviales</v>
          </cell>
          <cell r="C232" t="str">
            <v>S</v>
          </cell>
        </row>
        <row r="233">
          <cell r="A233">
            <v>356000</v>
          </cell>
          <cell r="B233" t="str">
            <v>Reparación y mantenimiento de equipo de defensa y seguridad</v>
          </cell>
          <cell r="C233" t="str">
            <v>N</v>
          </cell>
        </row>
        <row r="234">
          <cell r="A234">
            <v>356001</v>
          </cell>
          <cell r="B234" t="str">
            <v>Reparación y mantenimiento de equipo de defensa y seguridad</v>
          </cell>
          <cell r="C234" t="str">
            <v>S</v>
          </cell>
        </row>
        <row r="235">
          <cell r="A235">
            <v>357000</v>
          </cell>
          <cell r="B235" t="str">
            <v>Instalación, reparación y mantenimiento de maquinaria, otros equipos y herramienta</v>
          </cell>
          <cell r="C235" t="str">
            <v>N</v>
          </cell>
        </row>
        <row r="236">
          <cell r="A236">
            <v>357001</v>
          </cell>
          <cell r="B236" t="str">
            <v>Instalación, reparación y mantenimiento de Equipo de Telecomunicaciones</v>
          </cell>
          <cell r="C236" t="str">
            <v>S</v>
          </cell>
        </row>
        <row r="237">
          <cell r="A237">
            <v>357002</v>
          </cell>
          <cell r="B237" t="str">
            <v>Instalación, reparación y mantenimiento de maquinaria, otros equipos y herramienta</v>
          </cell>
          <cell r="C237" t="str">
            <v>S</v>
          </cell>
        </row>
        <row r="238">
          <cell r="A238">
            <v>358000</v>
          </cell>
          <cell r="B238" t="str">
            <v>Servicios de limpieza y manejo de desechos</v>
          </cell>
          <cell r="C238" t="str">
            <v>N</v>
          </cell>
        </row>
        <row r="239">
          <cell r="A239">
            <v>358001</v>
          </cell>
          <cell r="B239" t="str">
            <v>Servicios de higiene y limpieza</v>
          </cell>
          <cell r="C239" t="str">
            <v>S</v>
          </cell>
        </row>
        <row r="240">
          <cell r="A240">
            <v>358002</v>
          </cell>
          <cell r="B240" t="str">
            <v>Servicios de Limpieza y Lavado de Vehículos</v>
          </cell>
          <cell r="C240" t="str">
            <v>S</v>
          </cell>
        </row>
        <row r="241">
          <cell r="A241">
            <v>358003</v>
          </cell>
          <cell r="B241" t="str">
            <v>Servicios de Lavandería</v>
          </cell>
          <cell r="C241" t="str">
            <v>S</v>
          </cell>
        </row>
        <row r="242">
          <cell r="A242">
            <v>359000</v>
          </cell>
          <cell r="B242" t="str">
            <v>Servicios de jardinería y fumigación</v>
          </cell>
          <cell r="C242" t="str">
            <v>N</v>
          </cell>
        </row>
        <row r="243">
          <cell r="A243">
            <v>359001</v>
          </cell>
          <cell r="B243" t="str">
            <v>Árboles, plantas, semillas y abonos</v>
          </cell>
          <cell r="C243" t="str">
            <v>S</v>
          </cell>
        </row>
        <row r="244">
          <cell r="A244">
            <v>359002</v>
          </cell>
          <cell r="B244" t="str">
            <v>Fumigación de áreas verdes</v>
          </cell>
          <cell r="C244" t="str">
            <v>S</v>
          </cell>
        </row>
        <row r="245">
          <cell r="A245">
            <v>360000</v>
          </cell>
          <cell r="B245" t="str">
            <v>SERVICIOS DE COMUNICACIÓN SOCIAL Y PUBLICIDAD</v>
          </cell>
          <cell r="C245" t="str">
            <v>N</v>
          </cell>
        </row>
        <row r="246">
          <cell r="A246">
            <v>361000</v>
          </cell>
          <cell r="B246" t="str">
            <v>Difusión por radio, televisión y otros medios de mensajes sobre programas y actividades gubernamentales</v>
          </cell>
          <cell r="C246" t="str">
            <v>N</v>
          </cell>
        </row>
        <row r="247">
          <cell r="A247">
            <v>361001</v>
          </cell>
          <cell r="B247" t="str">
            <v>Gastos de difusión</v>
          </cell>
          <cell r="C247" t="str">
            <v>S</v>
          </cell>
        </row>
        <row r="248">
          <cell r="A248">
            <v>361002</v>
          </cell>
          <cell r="B248" t="str">
            <v>Impresiones y publicaciones oficiales</v>
          </cell>
          <cell r="C248" t="str">
            <v>S</v>
          </cell>
        </row>
        <row r="249">
          <cell r="A249">
            <v>361003</v>
          </cell>
          <cell r="B249" t="str">
            <v>Rotulaciones oficiales</v>
          </cell>
          <cell r="C249" t="str">
            <v>S</v>
          </cell>
        </row>
        <row r="250">
          <cell r="A250">
            <v>361004</v>
          </cell>
          <cell r="B250" t="str">
            <v>Publicación de convocatorias</v>
          </cell>
          <cell r="C250" t="str">
            <v>S</v>
          </cell>
        </row>
        <row r="251">
          <cell r="A251">
            <v>362000</v>
          </cell>
          <cell r="B251" t="str">
            <v>Difusión por radio, televisión y otros medios de mensajes comerciales para promover la venta de bienes o servicios</v>
          </cell>
          <cell r="C251" t="str">
            <v>N</v>
          </cell>
        </row>
        <row r="252">
          <cell r="A252">
            <v>362001</v>
          </cell>
          <cell r="B252" t="str">
            <v>Difusión por radio, televisión y otros medios de mensajes comerciales para promover la venta de bienes o servicios</v>
          </cell>
          <cell r="C252" t="str">
            <v>S</v>
          </cell>
        </row>
        <row r="253">
          <cell r="A253">
            <v>362002</v>
          </cell>
          <cell r="B253" t="str">
            <v>Difusión por radio, televisión y otros medios de mensajes comerciales para promover la venta de bienes o servicios, fuera del país</v>
          </cell>
          <cell r="C253" t="str">
            <v>S</v>
          </cell>
        </row>
        <row r="254">
          <cell r="A254">
            <v>363000</v>
          </cell>
          <cell r="B254" t="str">
            <v>Servicios de creatividad, preproducción y producción de publicidad, excepto Internet</v>
          </cell>
          <cell r="C254" t="str">
            <v>N</v>
          </cell>
        </row>
        <row r="255">
          <cell r="A255">
            <v>363001</v>
          </cell>
          <cell r="B255" t="str">
            <v>Servicios de Producción y Diseño Publicitario</v>
          </cell>
          <cell r="C255" t="str">
            <v>S</v>
          </cell>
        </row>
        <row r="256">
          <cell r="A256">
            <v>364000</v>
          </cell>
          <cell r="B256" t="str">
            <v>Servicios de revelado de fotografías</v>
          </cell>
          <cell r="C256" t="str">
            <v>N</v>
          </cell>
        </row>
        <row r="257">
          <cell r="A257">
            <v>364001</v>
          </cell>
          <cell r="B257" t="str">
            <v>Revelado de Fotografías</v>
          </cell>
          <cell r="C257" t="str">
            <v>S</v>
          </cell>
        </row>
        <row r="258">
          <cell r="A258">
            <v>365000</v>
          </cell>
          <cell r="B258" t="str">
            <v>Servicios de la industria fílmica, del sonido y del video</v>
          </cell>
          <cell r="C258" t="str">
            <v>N</v>
          </cell>
        </row>
        <row r="259">
          <cell r="A259">
            <v>365001</v>
          </cell>
          <cell r="B259" t="str">
            <v>Servicios de la industria fílmica, del sonido y del video</v>
          </cell>
          <cell r="C259" t="str">
            <v>S</v>
          </cell>
        </row>
        <row r="260">
          <cell r="A260">
            <v>366000</v>
          </cell>
          <cell r="B260" t="str">
            <v>Servicio de creación y difusión de contenido exclusivamente a través de Internet</v>
          </cell>
          <cell r="C260" t="str">
            <v>N</v>
          </cell>
        </row>
        <row r="261">
          <cell r="A261">
            <v>366001</v>
          </cell>
          <cell r="B261" t="str">
            <v>Gastos de difusión a través de internet</v>
          </cell>
          <cell r="C261" t="str">
            <v>S</v>
          </cell>
        </row>
        <row r="262">
          <cell r="A262">
            <v>369000</v>
          </cell>
          <cell r="B262" t="str">
            <v>Otros servicios de información</v>
          </cell>
          <cell r="C262" t="str">
            <v>N</v>
          </cell>
        </row>
        <row r="263">
          <cell r="A263">
            <v>369001</v>
          </cell>
          <cell r="B263" t="str">
            <v>Monitoreo de Información y Encuestas</v>
          </cell>
          <cell r="C263" t="str">
            <v>S</v>
          </cell>
        </row>
        <row r="264">
          <cell r="A264">
            <v>370000</v>
          </cell>
          <cell r="B264" t="str">
            <v>SERVICIOS DE TRASLADO Y VIÁTICOS</v>
          </cell>
          <cell r="C264" t="str">
            <v>N</v>
          </cell>
        </row>
        <row r="265">
          <cell r="A265">
            <v>371000</v>
          </cell>
          <cell r="B265" t="str">
            <v>Pasajes aéreos</v>
          </cell>
          <cell r="C265" t="str">
            <v>N</v>
          </cell>
        </row>
        <row r="266">
          <cell r="A266">
            <v>371001</v>
          </cell>
          <cell r="B266" t="str">
            <v>Pasajes aéreos</v>
          </cell>
          <cell r="C266" t="str">
            <v>S</v>
          </cell>
        </row>
        <row r="267">
          <cell r="A267">
            <v>372000</v>
          </cell>
          <cell r="B267" t="str">
            <v>Pasajes terrestres</v>
          </cell>
          <cell r="C267" t="str">
            <v>N</v>
          </cell>
        </row>
        <row r="268">
          <cell r="A268">
            <v>372001</v>
          </cell>
          <cell r="B268" t="str">
            <v>Pasajes terrestres</v>
          </cell>
          <cell r="C268" t="str">
            <v>S</v>
          </cell>
        </row>
        <row r="269">
          <cell r="A269">
            <v>373000</v>
          </cell>
          <cell r="B269" t="str">
            <v>Pasajes marítimos, lacustres y fluviales</v>
          </cell>
          <cell r="C269" t="str">
            <v>N</v>
          </cell>
        </row>
        <row r="270">
          <cell r="A270">
            <v>373001</v>
          </cell>
          <cell r="B270" t="str">
            <v>Pasajes marítimos</v>
          </cell>
          <cell r="C270" t="str">
            <v>S</v>
          </cell>
        </row>
        <row r="271">
          <cell r="A271">
            <v>374000</v>
          </cell>
          <cell r="B271" t="str">
            <v>Autotransporte</v>
          </cell>
          <cell r="C271" t="str">
            <v>N</v>
          </cell>
        </row>
        <row r="272">
          <cell r="A272">
            <v>374001</v>
          </cell>
          <cell r="B272" t="str">
            <v>Autotransporte</v>
          </cell>
          <cell r="C272" t="str">
            <v>S</v>
          </cell>
        </row>
        <row r="273">
          <cell r="A273">
            <v>375000</v>
          </cell>
          <cell r="B273" t="str">
            <v>Viáticos en el país</v>
          </cell>
          <cell r="C273" t="str">
            <v>N</v>
          </cell>
        </row>
        <row r="274">
          <cell r="A274">
            <v>375001</v>
          </cell>
          <cell r="B274" t="str">
            <v>Viáticos</v>
          </cell>
          <cell r="C274" t="str">
            <v>S</v>
          </cell>
        </row>
        <row r="275">
          <cell r="A275">
            <v>376000</v>
          </cell>
          <cell r="B275" t="str">
            <v>Viáticos en el extranjero</v>
          </cell>
          <cell r="C275" t="str">
            <v>N</v>
          </cell>
        </row>
        <row r="276">
          <cell r="A276">
            <v>376001</v>
          </cell>
          <cell r="B276" t="str">
            <v>Viáticos en el extranjero</v>
          </cell>
          <cell r="C276" t="str">
            <v>S</v>
          </cell>
        </row>
        <row r="277">
          <cell r="A277">
            <v>377000</v>
          </cell>
          <cell r="B277" t="str">
            <v>Gastos de instalación y traslado de menaje</v>
          </cell>
          <cell r="C277" t="str">
            <v>N</v>
          </cell>
        </row>
        <row r="278">
          <cell r="A278">
            <v>377001</v>
          </cell>
          <cell r="B278" t="str">
            <v>Gastos de instalación y traslado de menaje</v>
          </cell>
          <cell r="C278" t="str">
            <v>S</v>
          </cell>
        </row>
        <row r="279">
          <cell r="A279">
            <v>378000</v>
          </cell>
          <cell r="B279" t="str">
            <v>Servicios integrales de traslado y viáticos</v>
          </cell>
          <cell r="C279" t="str">
            <v>N</v>
          </cell>
        </row>
        <row r="280">
          <cell r="A280">
            <v>378001</v>
          </cell>
          <cell r="B280" t="str">
            <v>Diligencias judiciales</v>
          </cell>
          <cell r="C280" t="str">
            <v>S</v>
          </cell>
        </row>
        <row r="281">
          <cell r="A281">
            <v>379000</v>
          </cell>
          <cell r="B281" t="str">
            <v>Otros servicios de traslado y hospedaje</v>
          </cell>
          <cell r="C281" t="str">
            <v>N</v>
          </cell>
        </row>
        <row r="282">
          <cell r="A282">
            <v>379001</v>
          </cell>
          <cell r="B282" t="str">
            <v>Traslado de vehículos</v>
          </cell>
          <cell r="C282" t="str">
            <v>S</v>
          </cell>
        </row>
        <row r="283">
          <cell r="A283">
            <v>379002</v>
          </cell>
          <cell r="B283" t="str">
            <v>Gastos de traslado de personas</v>
          </cell>
          <cell r="C283" t="str">
            <v>S</v>
          </cell>
        </row>
        <row r="284">
          <cell r="A284">
            <v>379003</v>
          </cell>
          <cell r="B284" t="str">
            <v>Hospedaje de personas</v>
          </cell>
          <cell r="C284" t="str">
            <v>S</v>
          </cell>
        </row>
        <row r="285">
          <cell r="A285">
            <v>380000</v>
          </cell>
          <cell r="B285" t="str">
            <v>SERVICIOS OFICIALES</v>
          </cell>
          <cell r="C285" t="str">
            <v>N</v>
          </cell>
        </row>
        <row r="286">
          <cell r="A286">
            <v>381000</v>
          </cell>
          <cell r="B286" t="str">
            <v>Gastos de ceremonial</v>
          </cell>
          <cell r="C286" t="str">
            <v>N</v>
          </cell>
        </row>
        <row r="287">
          <cell r="A287">
            <v>381001</v>
          </cell>
          <cell r="B287" t="str">
            <v>Atención a personalidades nacionales y extranjeras</v>
          </cell>
          <cell r="C287" t="str">
            <v>S</v>
          </cell>
        </row>
        <row r="288">
          <cell r="A288">
            <v>382000</v>
          </cell>
          <cell r="B288" t="str">
            <v>Gastos de orden social y cultural</v>
          </cell>
          <cell r="C288" t="str">
            <v>N</v>
          </cell>
        </row>
        <row r="289">
          <cell r="A289">
            <v>382001</v>
          </cell>
          <cell r="B289" t="str">
            <v>Espectáculos y actividades culturales</v>
          </cell>
          <cell r="C289" t="str">
            <v>S</v>
          </cell>
        </row>
        <row r="290">
          <cell r="A290">
            <v>382002</v>
          </cell>
          <cell r="B290" t="str">
            <v>Gastos de recepción, conmemorativos y de orden social</v>
          </cell>
          <cell r="C290" t="str">
            <v>S</v>
          </cell>
        </row>
        <row r="291">
          <cell r="A291">
            <v>382003</v>
          </cell>
          <cell r="B291" t="str">
            <v>Adaptaciones para eventos sociales y culturales</v>
          </cell>
          <cell r="C291" t="str">
            <v>S</v>
          </cell>
        </row>
        <row r="292">
          <cell r="A292">
            <v>382004</v>
          </cell>
          <cell r="B292" t="str">
            <v>Festividades y Eventos</v>
          </cell>
          <cell r="C292" t="str">
            <v>S</v>
          </cell>
        </row>
        <row r="293">
          <cell r="A293">
            <v>383000</v>
          </cell>
          <cell r="B293" t="str">
            <v>Congresos y convenciones</v>
          </cell>
          <cell r="C293" t="str">
            <v>N</v>
          </cell>
        </row>
        <row r="294">
          <cell r="A294">
            <v>383001</v>
          </cell>
          <cell r="B294" t="str">
            <v>Congresos y convenciones</v>
          </cell>
          <cell r="C294" t="str">
            <v>S</v>
          </cell>
        </row>
        <row r="295">
          <cell r="A295">
            <v>384000</v>
          </cell>
          <cell r="B295" t="str">
            <v>Exposiciones</v>
          </cell>
          <cell r="C295" t="str">
            <v>N</v>
          </cell>
        </row>
        <row r="296">
          <cell r="A296">
            <v>384001</v>
          </cell>
          <cell r="B296" t="str">
            <v>Exposiciones</v>
          </cell>
          <cell r="C296" t="str">
            <v>S</v>
          </cell>
        </row>
        <row r="297">
          <cell r="A297">
            <v>385000</v>
          </cell>
          <cell r="B297" t="str">
            <v>Gastos de representación</v>
          </cell>
          <cell r="C297" t="str">
            <v>N</v>
          </cell>
        </row>
        <row r="298">
          <cell r="A298">
            <v>385001</v>
          </cell>
          <cell r="B298" t="str">
            <v>Gastos de representación</v>
          </cell>
          <cell r="C298" t="str">
            <v>S</v>
          </cell>
        </row>
        <row r="299">
          <cell r="A299">
            <v>390000</v>
          </cell>
          <cell r="B299" t="str">
            <v>OTROS SERVICIOS GENERALES</v>
          </cell>
          <cell r="C299" t="str">
            <v>N</v>
          </cell>
        </row>
        <row r="300">
          <cell r="A300">
            <v>391000</v>
          </cell>
          <cell r="B300" t="str">
            <v>Servicios funerarios y de cementerios</v>
          </cell>
          <cell r="C300" t="str">
            <v>N</v>
          </cell>
        </row>
        <row r="301">
          <cell r="A301">
            <v>391001</v>
          </cell>
          <cell r="B301" t="str">
            <v>Servicios funerarios y de cementerios</v>
          </cell>
          <cell r="C301" t="str">
            <v>S</v>
          </cell>
        </row>
        <row r="302">
          <cell r="A302">
            <v>392000</v>
          </cell>
          <cell r="B302" t="str">
            <v>Impuestos y derechos</v>
          </cell>
          <cell r="C302" t="str">
            <v>N</v>
          </cell>
        </row>
        <row r="303">
          <cell r="A303">
            <v>392001</v>
          </cell>
          <cell r="B303" t="str">
            <v>Impuestos y derechos</v>
          </cell>
          <cell r="C303" t="str">
            <v>S</v>
          </cell>
        </row>
        <row r="304">
          <cell r="A304">
            <v>393000</v>
          </cell>
          <cell r="B304" t="str">
            <v>Impuestos y derechos de importación</v>
          </cell>
          <cell r="C304" t="str">
            <v>N</v>
          </cell>
        </row>
        <row r="305">
          <cell r="A305">
            <v>393001</v>
          </cell>
          <cell r="B305" t="str">
            <v>Impuestos y derechos de importación</v>
          </cell>
          <cell r="C305" t="str">
            <v>S</v>
          </cell>
        </row>
        <row r="306">
          <cell r="A306">
            <v>394000</v>
          </cell>
          <cell r="B306" t="str">
            <v>Sentencias y resoluciones judiciales</v>
          </cell>
          <cell r="C306" t="str">
            <v>N</v>
          </cell>
        </row>
        <row r="307">
          <cell r="A307">
            <v>394001</v>
          </cell>
          <cell r="B307" t="str">
            <v>Sentencias y resoluciones judiciales</v>
          </cell>
          <cell r="C307" t="str">
            <v>S</v>
          </cell>
        </row>
        <row r="308">
          <cell r="A308">
            <v>395000</v>
          </cell>
          <cell r="B308" t="str">
            <v>Penas, multas, accesorios y actualizaciones</v>
          </cell>
          <cell r="C308" t="str">
            <v>N</v>
          </cell>
        </row>
        <row r="309">
          <cell r="A309">
            <v>395001</v>
          </cell>
          <cell r="B309" t="str">
            <v>Penas, multas, accesorios y actualizaciones</v>
          </cell>
          <cell r="C309" t="str">
            <v>S</v>
          </cell>
        </row>
        <row r="310">
          <cell r="A310">
            <v>396000</v>
          </cell>
          <cell r="B310" t="str">
            <v>Otros gastos por responsabilidades</v>
          </cell>
          <cell r="C310" t="str">
            <v>N</v>
          </cell>
        </row>
        <row r="311">
          <cell r="A311">
            <v>396001</v>
          </cell>
          <cell r="B311" t="str">
            <v>Otros gastos por responsabilidades</v>
          </cell>
          <cell r="C311" t="str">
            <v>S</v>
          </cell>
        </row>
        <row r="312">
          <cell r="A312">
            <v>399000</v>
          </cell>
          <cell r="B312" t="str">
            <v>Otros servicios generales</v>
          </cell>
          <cell r="C312" t="str">
            <v>N</v>
          </cell>
        </row>
        <row r="313">
          <cell r="A313">
            <v>399001</v>
          </cell>
          <cell r="B313" t="str">
            <v>Gastos menores</v>
          </cell>
          <cell r="C313" t="str">
            <v>S</v>
          </cell>
        </row>
        <row r="314">
          <cell r="A314">
            <v>399002</v>
          </cell>
          <cell r="B314" t="str">
            <v>Retribuciones a reos</v>
          </cell>
          <cell r="C314" t="str">
            <v>S</v>
          </cell>
        </row>
        <row r="315">
          <cell r="A315">
            <v>399003</v>
          </cell>
          <cell r="B315" t="str">
            <v>Otros servicios de la administración pública</v>
          </cell>
          <cell r="C315" t="str">
            <v>S</v>
          </cell>
        </row>
        <row r="316">
          <cell r="A316">
            <v>399004</v>
          </cell>
          <cell r="B316" t="str">
            <v>Previsión Arrendamientos</v>
          </cell>
          <cell r="C316" t="str">
            <v>Prev</v>
          </cell>
        </row>
        <row r="317">
          <cell r="A317">
            <v>500000</v>
          </cell>
          <cell r="B317" t="str">
            <v>BIENES MUEBLES, INMUEBLES E INTANGIBLES</v>
          </cell>
          <cell r="C317" t="str">
            <v>N</v>
          </cell>
        </row>
        <row r="318">
          <cell r="A318">
            <v>510000</v>
          </cell>
          <cell r="B318" t="str">
            <v>MOBILIARIO Y EQUIPO DE ADMINISTRACIÓN</v>
          </cell>
          <cell r="C318" t="str">
            <v>N</v>
          </cell>
        </row>
        <row r="319">
          <cell r="A319">
            <v>511000</v>
          </cell>
          <cell r="B319" t="str">
            <v>Muebles de oficina y estantería</v>
          </cell>
          <cell r="C319" t="str">
            <v>N</v>
          </cell>
        </row>
        <row r="320">
          <cell r="A320">
            <v>511001</v>
          </cell>
          <cell r="B320" t="str">
            <v>Mobiliario</v>
          </cell>
          <cell r="C320" t="str">
            <v>S</v>
          </cell>
        </row>
        <row r="321">
          <cell r="A321">
            <v>512000</v>
          </cell>
          <cell r="B321" t="str">
            <v>Muebles, excepto de oficina y estantería</v>
          </cell>
          <cell r="C321" t="str">
            <v>N</v>
          </cell>
        </row>
        <row r="322">
          <cell r="A322">
            <v>512001</v>
          </cell>
          <cell r="B322" t="str">
            <v>Muebles, excepto de oficina y estantería</v>
          </cell>
          <cell r="C322" t="str">
            <v>S</v>
          </cell>
        </row>
        <row r="323">
          <cell r="A323">
            <v>513000</v>
          </cell>
          <cell r="B323" t="str">
            <v>Bienes artísticos, culturales y científicos</v>
          </cell>
          <cell r="C323" t="str">
            <v>N</v>
          </cell>
        </row>
        <row r="324">
          <cell r="A324">
            <v>513001</v>
          </cell>
          <cell r="B324" t="str">
            <v>Bienes artísticos y culturales</v>
          </cell>
          <cell r="C324" t="str">
            <v>S</v>
          </cell>
        </row>
        <row r="325">
          <cell r="A325">
            <v>514000</v>
          </cell>
          <cell r="B325" t="str">
            <v>Objetos de valor</v>
          </cell>
          <cell r="C325" t="str">
            <v>N</v>
          </cell>
        </row>
        <row r="326">
          <cell r="A326">
            <v>514001</v>
          </cell>
          <cell r="B326" t="str">
            <v>Objetos de valor</v>
          </cell>
          <cell r="C326" t="str">
            <v>S</v>
          </cell>
        </row>
        <row r="327">
          <cell r="A327">
            <v>515000</v>
          </cell>
          <cell r="B327" t="str">
            <v>Equipo de cómputo y de tecnologías de la información</v>
          </cell>
          <cell r="C327" t="str">
            <v>N</v>
          </cell>
        </row>
        <row r="328">
          <cell r="A328">
            <v>515001</v>
          </cell>
          <cell r="B328" t="str">
            <v>Equipo de administración</v>
          </cell>
          <cell r="C328" t="str">
            <v>S</v>
          </cell>
        </row>
        <row r="329">
          <cell r="A329">
            <v>515002</v>
          </cell>
          <cell r="B329" t="str">
            <v>Equipo de Cómputo y Aparatos de Uso Informático</v>
          </cell>
          <cell r="C329" t="str">
            <v>S</v>
          </cell>
        </row>
        <row r="330">
          <cell r="A330">
            <v>515003</v>
          </cell>
          <cell r="B330" t="str">
            <v>Sistemas de Rastreo Satelital (GPS)</v>
          </cell>
          <cell r="C330" t="str">
            <v>S</v>
          </cell>
        </row>
        <row r="331">
          <cell r="A331">
            <v>519000</v>
          </cell>
          <cell r="B331" t="str">
            <v>Otros mobiliarios y equipos de administración</v>
          </cell>
          <cell r="C331" t="str">
            <v>N</v>
          </cell>
        </row>
        <row r="332">
          <cell r="A332">
            <v>519001</v>
          </cell>
          <cell r="B332" t="str">
            <v>Cámaras y Circuitos Cerrados de Seguridad</v>
          </cell>
          <cell r="C332" t="str">
            <v>S</v>
          </cell>
        </row>
        <row r="333">
          <cell r="A333">
            <v>519002</v>
          </cell>
          <cell r="B333" t="str">
            <v>Equipos de Audio</v>
          </cell>
          <cell r="C333" t="str">
            <v>S</v>
          </cell>
        </row>
        <row r="334">
          <cell r="A334">
            <v>519003</v>
          </cell>
          <cell r="B334" t="str">
            <v>Otras Herramientas, Mobiliarios y Eq. De Administración</v>
          </cell>
          <cell r="C334" t="str">
            <v>S</v>
          </cell>
        </row>
        <row r="335">
          <cell r="A335">
            <v>519004</v>
          </cell>
          <cell r="B335" t="str">
            <v>Aulas Móviles de Vigilancia</v>
          </cell>
          <cell r="C335" t="str">
            <v>S</v>
          </cell>
        </row>
        <row r="336">
          <cell r="A336">
            <v>520000</v>
          </cell>
          <cell r="B336" t="str">
            <v>MOBILIARIO Y EQUIPO EDUCACIONAL Y RECREATIVO</v>
          </cell>
          <cell r="C336" t="str">
            <v>N</v>
          </cell>
        </row>
        <row r="337">
          <cell r="A337">
            <v>521000</v>
          </cell>
          <cell r="B337" t="str">
            <v>Equipos y aparatos audiovisuales</v>
          </cell>
          <cell r="C337" t="str">
            <v>N</v>
          </cell>
        </row>
        <row r="338">
          <cell r="A338">
            <v>521001</v>
          </cell>
          <cell r="B338" t="str">
            <v>Equipo educacional y recreativo</v>
          </cell>
          <cell r="C338" t="str">
            <v>S</v>
          </cell>
        </row>
        <row r="339">
          <cell r="A339">
            <v>522000</v>
          </cell>
          <cell r="B339" t="str">
            <v>Aparatos deportivos</v>
          </cell>
          <cell r="C339" t="str">
            <v>N</v>
          </cell>
        </row>
        <row r="340">
          <cell r="A340">
            <v>522001</v>
          </cell>
          <cell r="B340" t="str">
            <v>Aparatos deportivos</v>
          </cell>
          <cell r="C340" t="str">
            <v>S</v>
          </cell>
        </row>
        <row r="341">
          <cell r="A341">
            <v>523000</v>
          </cell>
          <cell r="B341" t="str">
            <v>Cámaras fotográficas y de video</v>
          </cell>
          <cell r="C341" t="str">
            <v>N</v>
          </cell>
        </row>
        <row r="342">
          <cell r="A342">
            <v>523001</v>
          </cell>
          <cell r="B342" t="str">
            <v>Cámaras Fotográficas</v>
          </cell>
          <cell r="C342" t="str">
            <v>S</v>
          </cell>
        </row>
        <row r="343">
          <cell r="A343">
            <v>523002</v>
          </cell>
          <cell r="B343" t="str">
            <v>Cámaras de Video</v>
          </cell>
          <cell r="C343" t="str">
            <v>S</v>
          </cell>
        </row>
        <row r="344">
          <cell r="A344">
            <v>529000</v>
          </cell>
          <cell r="B344" t="str">
            <v>Otro mobiliario y equipo educacional y recreativo</v>
          </cell>
          <cell r="C344" t="str">
            <v>N</v>
          </cell>
        </row>
        <row r="345">
          <cell r="A345">
            <v>529001</v>
          </cell>
          <cell r="B345" t="str">
            <v>Instrumentos Musicales</v>
          </cell>
          <cell r="C345" t="str">
            <v>S</v>
          </cell>
        </row>
        <row r="346">
          <cell r="A346">
            <v>529002</v>
          </cell>
          <cell r="B346" t="str">
            <v>Equipo Educacional</v>
          </cell>
          <cell r="C346" t="str">
            <v>S</v>
          </cell>
        </row>
        <row r="347">
          <cell r="A347">
            <v>530000</v>
          </cell>
          <cell r="B347" t="str">
            <v>EQUIPO E INSTRUMENTAL MÉDICO Y DE LABORATORIO</v>
          </cell>
          <cell r="C347" t="str">
            <v>N</v>
          </cell>
        </row>
        <row r="348">
          <cell r="A348">
            <v>531000</v>
          </cell>
          <cell r="B348" t="str">
            <v>Equipo médico y de laboratorio</v>
          </cell>
          <cell r="C348" t="str">
            <v>N</v>
          </cell>
        </row>
        <row r="349">
          <cell r="A349">
            <v>531001</v>
          </cell>
          <cell r="B349" t="str">
            <v>Equipo e instrumental medico</v>
          </cell>
          <cell r="C349" t="str">
            <v>S</v>
          </cell>
        </row>
        <row r="350">
          <cell r="A350">
            <v>532000</v>
          </cell>
          <cell r="B350" t="str">
            <v>Instrumental médico y de laboratorio</v>
          </cell>
          <cell r="C350" t="str">
            <v>N</v>
          </cell>
        </row>
        <row r="351">
          <cell r="A351">
            <v>532001</v>
          </cell>
          <cell r="B351" t="str">
            <v>Instrumental médico y de laboratorio</v>
          </cell>
          <cell r="C351" t="str">
            <v>S</v>
          </cell>
        </row>
        <row r="352">
          <cell r="A352">
            <v>540000</v>
          </cell>
          <cell r="B352" t="str">
            <v>VEHÍCULOS Y EQUIPO DE TRANSPORTE</v>
          </cell>
          <cell r="C352" t="str">
            <v>N</v>
          </cell>
        </row>
        <row r="353">
          <cell r="A353">
            <v>541000</v>
          </cell>
          <cell r="B353" t="str">
            <v>Automóviles y camiones</v>
          </cell>
          <cell r="C353" t="str">
            <v>N</v>
          </cell>
        </row>
        <row r="354">
          <cell r="A354">
            <v>541001</v>
          </cell>
          <cell r="B354" t="str">
            <v>Vehículos y equipo terrestre</v>
          </cell>
          <cell r="C354" t="str">
            <v>S</v>
          </cell>
        </row>
        <row r="355">
          <cell r="A355">
            <v>542000</v>
          </cell>
          <cell r="B355" t="str">
            <v>Carrocerías y remolques</v>
          </cell>
          <cell r="C355" t="str">
            <v>N</v>
          </cell>
        </row>
        <row r="356">
          <cell r="A356">
            <v>542001</v>
          </cell>
          <cell r="B356" t="str">
            <v>Carrocerías y remolques</v>
          </cell>
          <cell r="C356" t="str">
            <v>S</v>
          </cell>
        </row>
        <row r="357">
          <cell r="A357">
            <v>543000</v>
          </cell>
          <cell r="B357" t="str">
            <v>Equipo aeroespacial</v>
          </cell>
          <cell r="C357" t="str">
            <v>N</v>
          </cell>
        </row>
        <row r="358">
          <cell r="A358">
            <v>543001</v>
          </cell>
          <cell r="B358" t="str">
            <v>Vehículos y equipo de transporte aéreo</v>
          </cell>
          <cell r="C358" t="str">
            <v>S</v>
          </cell>
        </row>
        <row r="359">
          <cell r="A359">
            <v>544000</v>
          </cell>
          <cell r="B359" t="str">
            <v>Equipo ferroviario</v>
          </cell>
          <cell r="C359" t="str">
            <v>N</v>
          </cell>
        </row>
        <row r="360">
          <cell r="A360">
            <v>544001</v>
          </cell>
          <cell r="B360" t="str">
            <v>Equipo ferroviario</v>
          </cell>
          <cell r="C360" t="str">
            <v>S</v>
          </cell>
        </row>
        <row r="361">
          <cell r="A361">
            <v>545000</v>
          </cell>
          <cell r="B361" t="str">
            <v>Embarcaciones</v>
          </cell>
          <cell r="C361" t="str">
            <v>N</v>
          </cell>
        </row>
        <row r="362">
          <cell r="A362">
            <v>545001</v>
          </cell>
          <cell r="B362" t="str">
            <v>Vehículos y equipo marino</v>
          </cell>
          <cell r="C362" t="str">
            <v>S</v>
          </cell>
        </row>
        <row r="363">
          <cell r="A363">
            <v>549000</v>
          </cell>
          <cell r="B363" t="str">
            <v>Otros Equipos de Transporte</v>
          </cell>
          <cell r="C363" t="str">
            <v>N</v>
          </cell>
        </row>
        <row r="364">
          <cell r="A364">
            <v>549001</v>
          </cell>
          <cell r="B364" t="str">
            <v>Otros equipos de transporte</v>
          </cell>
          <cell r="C364" t="str">
            <v>S</v>
          </cell>
        </row>
        <row r="365">
          <cell r="A365">
            <v>550000</v>
          </cell>
          <cell r="B365" t="str">
            <v>EQUIPO DE DEFENSA Y SEGURIDAD</v>
          </cell>
          <cell r="C365" t="str">
            <v>N</v>
          </cell>
        </row>
        <row r="366">
          <cell r="A366">
            <v>551000</v>
          </cell>
          <cell r="B366" t="str">
            <v>Equipo de defensa y seguridad</v>
          </cell>
          <cell r="C366" t="str">
            <v>N</v>
          </cell>
        </row>
        <row r="367">
          <cell r="A367">
            <v>551001</v>
          </cell>
          <cell r="B367" t="str">
            <v>Equipo de defensa y seguridad pública</v>
          </cell>
          <cell r="C367" t="str">
            <v>S</v>
          </cell>
        </row>
        <row r="368">
          <cell r="A368">
            <v>560000</v>
          </cell>
          <cell r="B368" t="str">
            <v>MAQUINARIA, OTROS EQUIPOS Y HERRAMIENTAS</v>
          </cell>
          <cell r="C368" t="str">
            <v>N</v>
          </cell>
        </row>
        <row r="369">
          <cell r="A369">
            <v>561000</v>
          </cell>
          <cell r="B369" t="str">
            <v>Maquinaria y equipo agropecuario</v>
          </cell>
          <cell r="C369" t="str">
            <v>N</v>
          </cell>
        </row>
        <row r="370">
          <cell r="A370">
            <v>561001</v>
          </cell>
          <cell r="B370" t="str">
            <v>Maquinaria y equipo agropecuario, industrial y de construcción</v>
          </cell>
          <cell r="C370" t="str">
            <v>S</v>
          </cell>
        </row>
        <row r="371">
          <cell r="A371">
            <v>562000</v>
          </cell>
          <cell r="B371" t="str">
            <v>Maquinaria y equipo industrial</v>
          </cell>
          <cell r="C371" t="str">
            <v>N</v>
          </cell>
        </row>
        <row r="372">
          <cell r="A372">
            <v>562001</v>
          </cell>
          <cell r="B372" t="str">
            <v>Bombas Industriales</v>
          </cell>
          <cell r="C372" t="str">
            <v>S</v>
          </cell>
        </row>
        <row r="373">
          <cell r="A373">
            <v>563000</v>
          </cell>
          <cell r="B373" t="str">
            <v>Maquinaria y equipo de construcción</v>
          </cell>
          <cell r="C373" t="str">
            <v>N</v>
          </cell>
        </row>
        <row r="374">
          <cell r="A374">
            <v>563001</v>
          </cell>
          <cell r="B374" t="str">
            <v>Maquinaria y equipo de construcción</v>
          </cell>
          <cell r="C374" t="str">
            <v>S</v>
          </cell>
        </row>
        <row r="375">
          <cell r="A375">
            <v>564000</v>
          </cell>
          <cell r="B375" t="str">
            <v>Sistemas de aire acondicionado, calefacción y de refrigeración industrial y comercial</v>
          </cell>
          <cell r="C375" t="str">
            <v>N</v>
          </cell>
        </row>
        <row r="376">
          <cell r="A376">
            <v>564001</v>
          </cell>
          <cell r="B376" t="str">
            <v>Sistemas de aire acondicionado, calefacción y de refrigeración industrial y comercial</v>
          </cell>
          <cell r="C376" t="str">
            <v>S</v>
          </cell>
        </row>
        <row r="377">
          <cell r="A377">
            <v>565000</v>
          </cell>
          <cell r="B377" t="str">
            <v>Equipo de comunicación y telecomunicación</v>
          </cell>
          <cell r="C377" t="str">
            <v>N</v>
          </cell>
        </row>
        <row r="378">
          <cell r="A378">
            <v>565001</v>
          </cell>
          <cell r="B378" t="str">
            <v>Maq. y equipo de telecomunicaciones, eléctrica y electrónica</v>
          </cell>
          <cell r="C378" t="str">
            <v>S</v>
          </cell>
        </row>
        <row r="379">
          <cell r="A379">
            <v>566000</v>
          </cell>
          <cell r="B379" t="str">
            <v>Equipos de generación eléctrica, aparatos y accesorios eléctricos</v>
          </cell>
          <cell r="C379" t="str">
            <v>N</v>
          </cell>
        </row>
        <row r="380">
          <cell r="A380">
            <v>566001</v>
          </cell>
          <cell r="B380" t="str">
            <v>Equipos de generación eléctrica</v>
          </cell>
          <cell r="C380" t="str">
            <v>S</v>
          </cell>
        </row>
        <row r="381">
          <cell r="A381">
            <v>566002</v>
          </cell>
          <cell r="B381" t="str">
            <v>Aparatos y Accesorios eléctricos</v>
          </cell>
          <cell r="C381" t="str">
            <v>S</v>
          </cell>
        </row>
        <row r="382">
          <cell r="A382">
            <v>567000</v>
          </cell>
          <cell r="B382" t="str">
            <v>Herramientas y máquinas-herramienta</v>
          </cell>
          <cell r="C382" t="str">
            <v>N</v>
          </cell>
        </row>
        <row r="383">
          <cell r="A383">
            <v>567001</v>
          </cell>
          <cell r="B383" t="str">
            <v>Herramientas y refacciones mayores</v>
          </cell>
          <cell r="C383" t="str">
            <v>S</v>
          </cell>
        </row>
        <row r="384">
          <cell r="A384">
            <v>569000</v>
          </cell>
          <cell r="B384" t="str">
            <v>Otros equipos</v>
          </cell>
          <cell r="C384" t="str">
            <v>N</v>
          </cell>
        </row>
        <row r="385">
          <cell r="A385">
            <v>569001</v>
          </cell>
          <cell r="B385" t="str">
            <v>Maquinaria y equipo diverso</v>
          </cell>
          <cell r="C385" t="str">
            <v>S</v>
          </cell>
        </row>
        <row r="386">
          <cell r="A386">
            <v>570000</v>
          </cell>
          <cell r="B386" t="str">
            <v>ACTIVOS BIOLÓGICOS</v>
          </cell>
          <cell r="C386" t="str">
            <v>N</v>
          </cell>
        </row>
        <row r="387">
          <cell r="A387">
            <v>571000</v>
          </cell>
          <cell r="B387" t="str">
            <v>Bovinos</v>
          </cell>
          <cell r="C387" t="str">
            <v>N</v>
          </cell>
        </row>
        <row r="388">
          <cell r="A388">
            <v>571001</v>
          </cell>
          <cell r="B388" t="str">
            <v>Bovinos</v>
          </cell>
          <cell r="C388" t="str">
            <v>S</v>
          </cell>
        </row>
        <row r="389">
          <cell r="A389">
            <v>572000</v>
          </cell>
          <cell r="B389" t="str">
            <v>Porcinos</v>
          </cell>
          <cell r="C389" t="str">
            <v>N</v>
          </cell>
        </row>
        <row r="390">
          <cell r="A390">
            <v>572001</v>
          </cell>
          <cell r="B390" t="str">
            <v>Porcinos</v>
          </cell>
          <cell r="C390" t="str">
            <v>S</v>
          </cell>
        </row>
        <row r="391">
          <cell r="A391">
            <v>573000</v>
          </cell>
          <cell r="B391" t="str">
            <v>Aves</v>
          </cell>
          <cell r="C391" t="str">
            <v>N</v>
          </cell>
        </row>
        <row r="392">
          <cell r="A392">
            <v>573001</v>
          </cell>
          <cell r="B392" t="str">
            <v>Aves</v>
          </cell>
          <cell r="C392" t="str">
            <v>S</v>
          </cell>
        </row>
        <row r="393">
          <cell r="A393">
            <v>574000</v>
          </cell>
          <cell r="B393" t="str">
            <v>Ovinos y caprinos</v>
          </cell>
          <cell r="C393" t="str">
            <v>N</v>
          </cell>
        </row>
        <row r="394">
          <cell r="A394">
            <v>574001</v>
          </cell>
          <cell r="B394" t="str">
            <v>Ovinos y caprinos</v>
          </cell>
          <cell r="C394" t="str">
            <v>S</v>
          </cell>
        </row>
        <row r="395">
          <cell r="A395">
            <v>575000</v>
          </cell>
          <cell r="B395" t="str">
            <v>Peces y acuicultura</v>
          </cell>
          <cell r="C395" t="str">
            <v>N</v>
          </cell>
        </row>
        <row r="396">
          <cell r="A396">
            <v>575001</v>
          </cell>
          <cell r="B396" t="str">
            <v>Peces y acuicultura</v>
          </cell>
          <cell r="C396" t="str">
            <v>S</v>
          </cell>
        </row>
        <row r="397">
          <cell r="A397">
            <v>576000</v>
          </cell>
          <cell r="B397" t="str">
            <v>Equinos</v>
          </cell>
          <cell r="C397" t="str">
            <v>N</v>
          </cell>
        </row>
        <row r="398">
          <cell r="A398">
            <v>576001</v>
          </cell>
          <cell r="B398" t="str">
            <v>Equinos</v>
          </cell>
          <cell r="C398" t="str">
            <v>S</v>
          </cell>
        </row>
        <row r="399">
          <cell r="A399">
            <v>577000</v>
          </cell>
          <cell r="B399" t="str">
            <v>Especies menores y de zoológico</v>
          </cell>
          <cell r="C399" t="str">
            <v>N</v>
          </cell>
        </row>
        <row r="400">
          <cell r="A400">
            <v>577001</v>
          </cell>
          <cell r="B400" t="str">
            <v>Especies menores y de zoológico</v>
          </cell>
          <cell r="C400" t="str">
            <v>S</v>
          </cell>
        </row>
        <row r="401">
          <cell r="A401">
            <v>578000</v>
          </cell>
          <cell r="B401" t="str">
            <v>Árboles y plantas</v>
          </cell>
          <cell r="C401" t="str">
            <v>N</v>
          </cell>
        </row>
        <row r="402">
          <cell r="A402">
            <v>578001</v>
          </cell>
          <cell r="B402" t="str">
            <v>Árboles y plantas</v>
          </cell>
          <cell r="C402" t="str">
            <v>S</v>
          </cell>
        </row>
        <row r="403">
          <cell r="A403">
            <v>579000</v>
          </cell>
          <cell r="B403" t="str">
            <v>Otros activos biológicos</v>
          </cell>
          <cell r="C403" t="str">
            <v>N</v>
          </cell>
        </row>
        <row r="404">
          <cell r="A404">
            <v>579001</v>
          </cell>
          <cell r="B404" t="str">
            <v>Otros activos biológicos</v>
          </cell>
          <cell r="C404" t="str">
            <v>S</v>
          </cell>
        </row>
        <row r="405">
          <cell r="A405">
            <v>580000</v>
          </cell>
          <cell r="B405" t="str">
            <v>BIENES INMUEBLES</v>
          </cell>
          <cell r="C405" t="str">
            <v>N</v>
          </cell>
        </row>
        <row r="406">
          <cell r="A406">
            <v>581000</v>
          </cell>
          <cell r="B406" t="str">
            <v>Terrenos</v>
          </cell>
          <cell r="C406" t="str">
            <v>N</v>
          </cell>
        </row>
        <row r="407">
          <cell r="A407">
            <v>581001</v>
          </cell>
          <cell r="B407" t="str">
            <v>Terrenos</v>
          </cell>
          <cell r="C407" t="str">
            <v>S</v>
          </cell>
        </row>
        <row r="408">
          <cell r="A408">
            <v>582000</v>
          </cell>
          <cell r="B408" t="str">
            <v>Viviendas</v>
          </cell>
          <cell r="C408" t="str">
            <v>N</v>
          </cell>
        </row>
        <row r="409">
          <cell r="A409">
            <v>582001</v>
          </cell>
          <cell r="B409" t="str">
            <v>Viviendas</v>
          </cell>
          <cell r="C409" t="str">
            <v>S</v>
          </cell>
        </row>
        <row r="410">
          <cell r="A410">
            <v>583000</v>
          </cell>
          <cell r="B410" t="str">
            <v>Edificios no residenciales</v>
          </cell>
          <cell r="C410" t="str">
            <v>N</v>
          </cell>
        </row>
        <row r="411">
          <cell r="A411">
            <v>583001</v>
          </cell>
          <cell r="B411" t="str">
            <v>Edificios y locales</v>
          </cell>
          <cell r="C411" t="str">
            <v>S</v>
          </cell>
        </row>
        <row r="412">
          <cell r="A412">
            <v>589000</v>
          </cell>
          <cell r="B412" t="str">
            <v>Otros bienes inmuebles</v>
          </cell>
          <cell r="C412" t="str">
            <v>N</v>
          </cell>
        </row>
        <row r="413">
          <cell r="A413">
            <v>589001</v>
          </cell>
          <cell r="B413" t="str">
            <v>Adjudicaciones, expropiaciones e indemnizaciones de inmuebles</v>
          </cell>
          <cell r="C413" t="str">
            <v>S</v>
          </cell>
        </row>
        <row r="414">
          <cell r="A414">
            <v>590000</v>
          </cell>
          <cell r="B414" t="str">
            <v>ACTIVOS INTANGIBLES</v>
          </cell>
          <cell r="C414" t="str">
            <v>N</v>
          </cell>
        </row>
        <row r="415">
          <cell r="A415">
            <v>591000</v>
          </cell>
          <cell r="B415" t="str">
            <v>Software</v>
          </cell>
          <cell r="C415" t="str">
            <v>N</v>
          </cell>
        </row>
        <row r="416">
          <cell r="A416">
            <v>591001</v>
          </cell>
          <cell r="B416" t="str">
            <v>Software</v>
          </cell>
          <cell r="C416" t="str">
            <v>S</v>
          </cell>
        </row>
        <row r="417">
          <cell r="A417">
            <v>592000</v>
          </cell>
          <cell r="B417" t="str">
            <v>Patentes</v>
          </cell>
          <cell r="C417" t="str">
            <v>N</v>
          </cell>
        </row>
        <row r="418">
          <cell r="A418">
            <v>592001</v>
          </cell>
          <cell r="B418" t="str">
            <v>Patentes</v>
          </cell>
          <cell r="C418" t="str">
            <v>S</v>
          </cell>
        </row>
        <row r="419">
          <cell r="A419">
            <v>593000</v>
          </cell>
          <cell r="B419" t="str">
            <v>Marcas</v>
          </cell>
          <cell r="C419" t="str">
            <v>N</v>
          </cell>
        </row>
        <row r="420">
          <cell r="A420">
            <v>593001</v>
          </cell>
          <cell r="B420" t="str">
            <v>Marcas</v>
          </cell>
          <cell r="C420" t="str">
            <v>S</v>
          </cell>
        </row>
        <row r="421">
          <cell r="A421">
            <v>594000</v>
          </cell>
          <cell r="B421" t="str">
            <v>Derechos</v>
          </cell>
          <cell r="C421" t="str">
            <v>N</v>
          </cell>
        </row>
        <row r="422">
          <cell r="A422">
            <v>594001</v>
          </cell>
          <cell r="B422" t="str">
            <v>Derechos</v>
          </cell>
          <cell r="C422" t="str">
            <v>S</v>
          </cell>
        </row>
        <row r="423">
          <cell r="A423">
            <v>595000</v>
          </cell>
          <cell r="B423" t="str">
            <v>Concesiones</v>
          </cell>
          <cell r="C423" t="str">
            <v>N</v>
          </cell>
        </row>
        <row r="424">
          <cell r="A424">
            <v>595001</v>
          </cell>
          <cell r="B424" t="str">
            <v>Concesiones</v>
          </cell>
          <cell r="C424" t="str">
            <v>S</v>
          </cell>
        </row>
        <row r="425">
          <cell r="A425">
            <v>596000</v>
          </cell>
          <cell r="B425" t="str">
            <v>Franquicias</v>
          </cell>
          <cell r="C425" t="str">
            <v>N</v>
          </cell>
        </row>
        <row r="426">
          <cell r="A426">
            <v>596001</v>
          </cell>
          <cell r="B426" t="str">
            <v>Franquicias</v>
          </cell>
          <cell r="C426" t="str">
            <v>S</v>
          </cell>
        </row>
        <row r="427">
          <cell r="A427">
            <v>597000</v>
          </cell>
          <cell r="B427" t="str">
            <v>Licencias informáticas e intelectuales</v>
          </cell>
          <cell r="C427" t="str">
            <v>N</v>
          </cell>
        </row>
        <row r="428">
          <cell r="A428">
            <v>597001</v>
          </cell>
          <cell r="B428" t="str">
            <v>Licencias para programas de antivirus</v>
          </cell>
          <cell r="C428" t="str">
            <v>S</v>
          </cell>
        </row>
        <row r="429">
          <cell r="A429">
            <v>597002</v>
          </cell>
          <cell r="B429" t="str">
            <v>Licencias Microsoft Windows server 2003 edición estándar</v>
          </cell>
          <cell r="C429" t="str">
            <v>S</v>
          </cell>
        </row>
        <row r="430">
          <cell r="A430">
            <v>598000</v>
          </cell>
          <cell r="B430" t="str">
            <v>Licencias industriales, comerciales y otras</v>
          </cell>
          <cell r="C430" t="str">
            <v>N</v>
          </cell>
        </row>
        <row r="431">
          <cell r="A431">
            <v>598001</v>
          </cell>
          <cell r="B431" t="str">
            <v>Licencias industriales, comerciales y otras</v>
          </cell>
          <cell r="C431" t="str">
            <v>S</v>
          </cell>
        </row>
        <row r="432">
          <cell r="A432">
            <v>599000</v>
          </cell>
          <cell r="B432" t="str">
            <v>Otros activos intangibles</v>
          </cell>
          <cell r="C432" t="str">
            <v>N</v>
          </cell>
        </row>
        <row r="433">
          <cell r="A433">
            <v>599001</v>
          </cell>
          <cell r="B433" t="str">
            <v>Otros activos intangibles</v>
          </cell>
          <cell r="C433" t="str">
            <v>S</v>
          </cell>
        </row>
      </sheetData>
      <sheetData sheetId="6">
        <row r="1">
          <cell r="A1" t="str">
            <v>NOMENCLATURA</v>
          </cell>
          <cell r="B1" t="str">
            <v>DESCRPCION</v>
          </cell>
          <cell r="C1"/>
          <cell r="D1"/>
        </row>
        <row r="2">
          <cell r="A2">
            <v>100</v>
          </cell>
          <cell r="B2" t="str">
            <v>INGRESOS PROPIOS Y APROVECHAMIENTOS</v>
          </cell>
          <cell r="C2"/>
          <cell r="D2"/>
        </row>
        <row r="3">
          <cell r="A3">
            <v>101</v>
          </cell>
          <cell r="B3" t="str">
            <v>INGRESOS PROPIOS (IMPUESTOS, DERECHOS, PRODUCTOS Y APROVECHAMIENTOS)</v>
          </cell>
          <cell r="C3"/>
          <cell r="D3"/>
        </row>
        <row r="4">
          <cell r="A4">
            <v>102</v>
          </cell>
          <cell r="B4" t="str">
            <v>INGRESOS PROPIOS</v>
          </cell>
          <cell r="C4"/>
          <cell r="D4"/>
        </row>
        <row r="5">
          <cell r="A5">
            <v>103</v>
          </cell>
          <cell r="B5" t="str">
            <v>INGRESOS PROPIOS APORTACIONES MUNICIPALES</v>
          </cell>
          <cell r="C5"/>
          <cell r="D5"/>
        </row>
        <row r="6">
          <cell r="A6">
            <v>104</v>
          </cell>
          <cell r="B6" t="str">
            <v>APROVECHAMIENTO POR EL USO DE LA I NFRAESTRUCTURA ESTATAL</v>
          </cell>
          <cell r="C6"/>
          <cell r="D6"/>
        </row>
        <row r="7">
          <cell r="A7">
            <v>110</v>
          </cell>
          <cell r="B7" t="str">
            <v>RECURSO F.O.I.S.</v>
          </cell>
          <cell r="C7"/>
          <cell r="D7"/>
        </row>
        <row r="8">
          <cell r="A8">
            <v>111</v>
          </cell>
          <cell r="B8" t="str">
            <v>RECURSO A.P.I.</v>
          </cell>
          <cell r="C8"/>
          <cell r="D8"/>
        </row>
        <row r="9">
          <cell r="A9">
            <v>130</v>
          </cell>
          <cell r="B9" t="str">
            <v>Reintegro con Ingresos Propios Ramo 28</v>
          </cell>
          <cell r="C9"/>
          <cell r="D9"/>
        </row>
        <row r="10">
          <cell r="A10">
            <v>136</v>
          </cell>
          <cell r="B10" t="str">
            <v>Reintegro con Ingresos Propios FONE</v>
          </cell>
          <cell r="C10"/>
          <cell r="D10"/>
        </row>
        <row r="11">
          <cell r="A11">
            <v>137</v>
          </cell>
          <cell r="B11" t="str">
            <v>Reintegro con Ingresos Propios FASSA</v>
          </cell>
          <cell r="C11"/>
          <cell r="D11"/>
        </row>
        <row r="12">
          <cell r="A12">
            <v>138</v>
          </cell>
          <cell r="B12" t="str">
            <v>Reintegro con Ingresos Propios FAIS/FISE</v>
          </cell>
          <cell r="C12"/>
          <cell r="D12"/>
        </row>
        <row r="13">
          <cell r="A13">
            <v>139</v>
          </cell>
          <cell r="B13" t="str">
            <v>Reintegro con Ingresos Propios FAIS/FISM</v>
          </cell>
          <cell r="C13"/>
          <cell r="D13"/>
        </row>
        <row r="14">
          <cell r="A14">
            <v>140</v>
          </cell>
          <cell r="B14" t="str">
            <v>Reintegro con Ingresos Propios FORTAMUN</v>
          </cell>
          <cell r="C14"/>
          <cell r="D14"/>
        </row>
        <row r="15">
          <cell r="A15">
            <v>141</v>
          </cell>
          <cell r="B15" t="str">
            <v>Reintegro con Ingresos Propios FAM/Asistencia Social</v>
          </cell>
          <cell r="C15"/>
          <cell r="D15"/>
        </row>
        <row r="16">
          <cell r="A16">
            <v>142</v>
          </cell>
          <cell r="B16" t="str">
            <v>Reintegro con Ingresos Propios FAM/Infraest. Educación Básica</v>
          </cell>
          <cell r="C16"/>
          <cell r="D16"/>
        </row>
        <row r="17">
          <cell r="A17">
            <v>143</v>
          </cell>
          <cell r="B17" t="str">
            <v>Reintegro con Ingresos Propios FAM/ Infraest. Educación Media Superior y Superior</v>
          </cell>
          <cell r="C17"/>
          <cell r="D17"/>
        </row>
        <row r="18">
          <cell r="A18">
            <v>145</v>
          </cell>
          <cell r="B18" t="str">
            <v>Reintegro con Ingresos Propios FAETA/Educ. Tecnológica (CONALEP)</v>
          </cell>
          <cell r="C18"/>
          <cell r="D18"/>
        </row>
        <row r="19">
          <cell r="A19">
            <v>146</v>
          </cell>
          <cell r="B19" t="str">
            <v>Reintegro con Ingresos Propios FAETA Educ. Adultos (IEEA)</v>
          </cell>
          <cell r="C19"/>
          <cell r="D19"/>
        </row>
        <row r="20">
          <cell r="A20">
            <v>147</v>
          </cell>
          <cell r="B20" t="str">
            <v>Reintegro con Ingresos Propios FASP</v>
          </cell>
          <cell r="C20"/>
          <cell r="D20"/>
        </row>
        <row r="21">
          <cell r="A21">
            <v>148</v>
          </cell>
          <cell r="B21" t="str">
            <v>Reintegro con Ingresos Propios FAFEF</v>
          </cell>
          <cell r="C21"/>
          <cell r="D21"/>
        </row>
        <row r="22">
          <cell r="A22">
            <v>149</v>
          </cell>
          <cell r="B22" t="str">
            <v>Reintegro con Ingresos Propios SEDATU</v>
          </cell>
          <cell r="C22"/>
          <cell r="D22"/>
        </row>
        <row r="23">
          <cell r="A23">
            <v>161</v>
          </cell>
          <cell r="B23" t="str">
            <v>Reintegro con Ingresos Propios CULTURA Ramo 48</v>
          </cell>
          <cell r="C23"/>
          <cell r="D23"/>
        </row>
        <row r="24">
          <cell r="A24">
            <v>162</v>
          </cell>
          <cell r="B24" t="str">
            <v>Reintegro con Ingresos Propios UABCS</v>
          </cell>
          <cell r="C24"/>
          <cell r="D24"/>
        </row>
        <row r="25">
          <cell r="A25">
            <v>163</v>
          </cell>
          <cell r="B25" t="str">
            <v>Reintegro con Ingresos Propios CONAGUA</v>
          </cell>
          <cell r="C25"/>
          <cell r="D25"/>
        </row>
        <row r="26">
          <cell r="A26">
            <v>164</v>
          </cell>
          <cell r="B26" t="str">
            <v>Reintegro con Ingresos Propios SEGOB</v>
          </cell>
          <cell r="C26"/>
          <cell r="D26"/>
        </row>
        <row r="27">
          <cell r="A27">
            <v>165</v>
          </cell>
          <cell r="B27" t="str">
            <v>Reintegro con Ingresos Propios SECTUR</v>
          </cell>
          <cell r="C27"/>
          <cell r="D27"/>
        </row>
        <row r="28">
          <cell r="A28">
            <v>166</v>
          </cell>
          <cell r="B28" t="str">
            <v>Reintegro con Ingresos Propios PROFIS</v>
          </cell>
          <cell r="C28"/>
          <cell r="D28"/>
        </row>
        <row r="29">
          <cell r="A29">
            <v>167</v>
          </cell>
          <cell r="B29" t="str">
            <v>Reintegro con Ingresos Propios SSP</v>
          </cell>
          <cell r="C29"/>
          <cell r="D29"/>
        </row>
        <row r="30">
          <cell r="A30">
            <v>168</v>
          </cell>
          <cell r="B30" t="str">
            <v>Reintegro con Ingresos Propios COBACH</v>
          </cell>
          <cell r="C30"/>
          <cell r="D30"/>
        </row>
        <row r="31">
          <cell r="A31">
            <v>169</v>
          </cell>
          <cell r="B31" t="str">
            <v>Reintegro con Ingresos Propios Fondo Proporcional Peso a Peso</v>
          </cell>
          <cell r="C31"/>
          <cell r="D31"/>
        </row>
        <row r="32">
          <cell r="A32">
            <v>170</v>
          </cell>
          <cell r="B32" t="str">
            <v>Reintegro con Ingresos Propios CECYTE</v>
          </cell>
          <cell r="C32"/>
          <cell r="D32"/>
        </row>
        <row r="33">
          <cell r="A33">
            <v>171</v>
          </cell>
          <cell r="B33" t="str">
            <v>Reintegro con Ingresos Propios Imp. Ref. Penal (SETEC)</v>
          </cell>
          <cell r="C33"/>
          <cell r="D33"/>
        </row>
        <row r="34">
          <cell r="A34">
            <v>172</v>
          </cell>
          <cell r="B34" t="str">
            <v>Reintegro con Ingresos Propios CONADE</v>
          </cell>
          <cell r="C34"/>
          <cell r="D34"/>
        </row>
        <row r="35">
          <cell r="A35">
            <v>173</v>
          </cell>
          <cell r="B35" t="str">
            <v>Reintegro con Ingresos Propios Conv. Salud (Ramo 12)</v>
          </cell>
          <cell r="C35"/>
          <cell r="D35"/>
        </row>
        <row r="36">
          <cell r="A36">
            <v>174</v>
          </cell>
          <cell r="B36" t="str">
            <v>Reintegro con Ingresos Propios Secretaría de Economía</v>
          </cell>
          <cell r="C36"/>
          <cell r="D36"/>
        </row>
        <row r="37">
          <cell r="A37">
            <v>177</v>
          </cell>
          <cell r="B37" t="str">
            <v>Reintegro con Ingresos Propios SUBSEMUN</v>
          </cell>
          <cell r="C37"/>
          <cell r="D37"/>
        </row>
        <row r="38">
          <cell r="A38">
            <v>178</v>
          </cell>
          <cell r="B38" t="str">
            <v>Reintegro con Ingresos Propios Fondo Para La Infraest. de los Estados</v>
          </cell>
          <cell r="C38"/>
          <cell r="D38"/>
        </row>
        <row r="39">
          <cell r="A39">
            <v>179</v>
          </cell>
          <cell r="B39" t="str">
            <v>Reintegro con Ingresos Propios Apoyo Financiero Ext. UABCS</v>
          </cell>
          <cell r="C39"/>
          <cell r="D39"/>
        </row>
        <row r="40">
          <cell r="A40">
            <v>180</v>
          </cell>
          <cell r="B40" t="str">
            <v>Reintegro con Ingresos Propios Apoyo Financiero Ext. ISIFE</v>
          </cell>
          <cell r="C40"/>
          <cell r="D40"/>
        </row>
        <row r="41">
          <cell r="A41">
            <v>181</v>
          </cell>
          <cell r="B41" t="str">
            <v>Reintegro con Ingresos Propios Subs. Policía Estatal Acreditable (SPA)</v>
          </cell>
          <cell r="C41"/>
          <cell r="D41"/>
        </row>
        <row r="42">
          <cell r="A42">
            <v>182</v>
          </cell>
          <cell r="B42" t="str">
            <v>Reintegro con Ingresos Propios PROASP</v>
          </cell>
          <cell r="C42"/>
          <cell r="D42"/>
        </row>
        <row r="43">
          <cell r="A43">
            <v>183</v>
          </cell>
          <cell r="B43" t="str">
            <v>Reintegro con Ingresos Propios Ingresos Extraordinarios</v>
          </cell>
          <cell r="C43"/>
          <cell r="D43"/>
        </row>
        <row r="44">
          <cell r="A44">
            <v>184</v>
          </cell>
          <cell r="B44" t="str">
            <v>Reintegro con Ingresos Propios Ingresos Derivados del 5 Al Millar (Obra)</v>
          </cell>
          <cell r="C44"/>
          <cell r="D44"/>
        </row>
        <row r="45">
          <cell r="A45">
            <v>185</v>
          </cell>
          <cell r="B45" t="str">
            <v>Reintegro con Ingresos Propios Ingresos Extraordinarios Ramo 23</v>
          </cell>
          <cell r="C45"/>
          <cell r="D45"/>
        </row>
        <row r="46">
          <cell r="A46">
            <v>186</v>
          </cell>
          <cell r="B46" t="str">
            <v>Reintegro con Ingresos Propios Ingresos Extraordinarios Ramo 21</v>
          </cell>
          <cell r="C46"/>
          <cell r="D46"/>
        </row>
        <row r="47">
          <cell r="A47">
            <v>187</v>
          </cell>
          <cell r="B47" t="str">
            <v>Reintegro con Ingresos Propios Ingresos Extraordinarios Sep. Ramo 11</v>
          </cell>
          <cell r="C47"/>
          <cell r="D47"/>
        </row>
        <row r="48">
          <cell r="A48">
            <v>188</v>
          </cell>
          <cell r="B48" t="str">
            <v>Reintegro con Ingresos Propios Ingresos Ext. Ramo 09 (SCT)</v>
          </cell>
          <cell r="C48"/>
          <cell r="D48"/>
        </row>
        <row r="49">
          <cell r="A49">
            <v>189</v>
          </cell>
          <cell r="B49" t="str">
            <v>Reintegro con Ingresos Propios Ingresos Ext. Ramo 16 (SEMARNAT)</v>
          </cell>
          <cell r="C49"/>
          <cell r="D49"/>
        </row>
        <row r="50">
          <cell r="A50">
            <v>201</v>
          </cell>
          <cell r="B50" t="str">
            <v>BONO CUPÓN CERO</v>
          </cell>
          <cell r="C50"/>
          <cell r="D50"/>
        </row>
        <row r="51">
          <cell r="A51">
            <v>500</v>
          </cell>
          <cell r="B51" t="str">
            <v>RECURSOS FEDERALES</v>
          </cell>
          <cell r="C51"/>
          <cell r="D51"/>
        </row>
        <row r="52">
          <cell r="A52">
            <v>530</v>
          </cell>
          <cell r="B52" t="str">
            <v>PARTICIPACIONES Ramo 28</v>
          </cell>
          <cell r="C52"/>
          <cell r="D52"/>
        </row>
        <row r="53">
          <cell r="A53">
            <v>535</v>
          </cell>
          <cell r="B53" t="str">
            <v>INTERESES BANCARIOS PROYECTADOS, RECURSOS FEDERALES</v>
          </cell>
          <cell r="C53"/>
          <cell r="D53"/>
        </row>
        <row r="54">
          <cell r="A54">
            <v>536</v>
          </cell>
          <cell r="B54" t="str">
            <v>FONE Ramo 33</v>
          </cell>
          <cell r="C54"/>
          <cell r="D54"/>
        </row>
        <row r="55">
          <cell r="A55">
            <v>537</v>
          </cell>
          <cell r="B55" t="str">
            <v>FASSA Ramo 33</v>
          </cell>
          <cell r="C55"/>
          <cell r="D55"/>
        </row>
        <row r="56">
          <cell r="A56">
            <v>538</v>
          </cell>
          <cell r="B56" t="str">
            <v>FAIS/FISE Ramo 33</v>
          </cell>
          <cell r="C56"/>
          <cell r="D56"/>
        </row>
        <row r="57">
          <cell r="A57">
            <v>539</v>
          </cell>
          <cell r="B57" t="str">
            <v>FAIS/FISM Ramo 33</v>
          </cell>
          <cell r="C57"/>
          <cell r="D57"/>
        </row>
        <row r="58">
          <cell r="A58">
            <v>540</v>
          </cell>
          <cell r="B58" t="str">
            <v>FORTAMUN Ramo 33</v>
          </cell>
          <cell r="C58"/>
          <cell r="D58"/>
        </row>
        <row r="59">
          <cell r="A59">
            <v>541</v>
          </cell>
          <cell r="B59" t="str">
            <v>FAM/ASISTENCIA SOCIAL Ramo 33</v>
          </cell>
          <cell r="C59"/>
          <cell r="D59"/>
        </row>
        <row r="60">
          <cell r="A60">
            <v>542</v>
          </cell>
          <cell r="B60" t="str">
            <v>FAM/INFRAESTRUCTURA DE EDUCACIÓN BÁSICA Ramo 33</v>
          </cell>
          <cell r="C60"/>
          <cell r="D60"/>
        </row>
        <row r="61">
          <cell r="A61">
            <v>543</v>
          </cell>
          <cell r="B61" t="str">
            <v>FAM/EDUCACIÓN MEDIA SUPERIOR Y SUPERIOR Ramo 33</v>
          </cell>
          <cell r="C61"/>
          <cell r="D61"/>
        </row>
        <row r="62">
          <cell r="A62">
            <v>545</v>
          </cell>
          <cell r="B62" t="str">
            <v>FAETA/EDUCACIÓN TECNOLÓGICA ( CONALEP) Ramo 33</v>
          </cell>
          <cell r="C62"/>
          <cell r="D62"/>
        </row>
        <row r="63">
          <cell r="A63">
            <v>546</v>
          </cell>
          <cell r="B63" t="str">
            <v>FAETA/EDUCACIÓN ADULTOS (IEEA) Ramo 33</v>
          </cell>
          <cell r="C63"/>
          <cell r="D63"/>
        </row>
        <row r="64">
          <cell r="A64">
            <v>547</v>
          </cell>
          <cell r="B64" t="str">
            <v>FASP Ramo 33</v>
          </cell>
          <cell r="C64"/>
          <cell r="D64"/>
        </row>
        <row r="65">
          <cell r="A65">
            <v>548</v>
          </cell>
          <cell r="B65" t="str">
            <v>FAFEF Ramo 33</v>
          </cell>
          <cell r="C65"/>
          <cell r="D65"/>
        </row>
        <row r="66">
          <cell r="A66">
            <v>549</v>
          </cell>
          <cell r="B66" t="str">
            <v>SRIA. DE DES. AGRARIO TERRITORIAL Y URBANO (SEDATU) Ramo 15</v>
          </cell>
          <cell r="C66"/>
          <cell r="D66"/>
        </row>
        <row r="67">
          <cell r="A67">
            <v>561</v>
          </cell>
          <cell r="B67" t="str">
            <v>CULTURA FEDERAL Ramo 48</v>
          </cell>
          <cell r="C67"/>
          <cell r="D67"/>
        </row>
        <row r="68">
          <cell r="A68">
            <v>562</v>
          </cell>
          <cell r="B68" t="str">
            <v>UNIVERSIDAD AUTÓNOMA DE B.C.S. Ramo 11</v>
          </cell>
          <cell r="C68"/>
          <cell r="D68"/>
        </row>
        <row r="69">
          <cell r="A69">
            <v>563</v>
          </cell>
          <cell r="B69" t="str">
            <v>CONAGUA Ramo 16</v>
          </cell>
          <cell r="C69"/>
          <cell r="D69"/>
        </row>
        <row r="70">
          <cell r="A70">
            <v>564</v>
          </cell>
          <cell r="B70" t="str">
            <v>SECRETARÍA DE GOBERNACIÓN Ramo 04</v>
          </cell>
          <cell r="C70"/>
          <cell r="D70"/>
        </row>
        <row r="71">
          <cell r="A71">
            <v>565</v>
          </cell>
          <cell r="B71" t="str">
            <v>SECRETARÍA DE TURISMO Ramo 21</v>
          </cell>
          <cell r="C71"/>
          <cell r="D71"/>
        </row>
        <row r="72">
          <cell r="A72">
            <v>566</v>
          </cell>
          <cell r="B72" t="str">
            <v>PROFIS</v>
          </cell>
          <cell r="C72"/>
          <cell r="D72"/>
        </row>
        <row r="73">
          <cell r="A73">
            <v>567</v>
          </cell>
          <cell r="B73" t="str">
            <v>SECRETARÍA DE SEGURIDAD PÚBLICA</v>
          </cell>
          <cell r="C73"/>
          <cell r="D73"/>
        </row>
        <row r="74">
          <cell r="A74">
            <v>568</v>
          </cell>
          <cell r="B74" t="str">
            <v>COBACH Ramo 11</v>
          </cell>
          <cell r="C74"/>
          <cell r="D74"/>
        </row>
        <row r="75">
          <cell r="A75">
            <v>569</v>
          </cell>
          <cell r="B75" t="str">
            <v>FONDO PROPORCIONAL PESO A PESO</v>
          </cell>
          <cell r="C75"/>
          <cell r="D75"/>
        </row>
        <row r="76">
          <cell r="A76">
            <v>570</v>
          </cell>
          <cell r="B76" t="str">
            <v>CECYTE Ramo 11</v>
          </cell>
          <cell r="C76"/>
          <cell r="D76"/>
        </row>
        <row r="77">
          <cell r="A77">
            <v>571</v>
          </cell>
          <cell r="B77" t="str">
            <v>IMPLEMENTACIÓN DE LA REFORMA PENAL (SETEC)</v>
          </cell>
          <cell r="C77"/>
          <cell r="D77"/>
        </row>
        <row r="78">
          <cell r="A78">
            <v>572</v>
          </cell>
          <cell r="B78" t="str">
            <v>CONADE Ramo 11</v>
          </cell>
          <cell r="C78"/>
          <cell r="D78"/>
        </row>
        <row r="79">
          <cell r="A79">
            <v>573</v>
          </cell>
          <cell r="B79" t="str">
            <v>CONVENIOS Ramo 12</v>
          </cell>
          <cell r="C79"/>
          <cell r="D79"/>
        </row>
        <row r="80">
          <cell r="A80">
            <v>574</v>
          </cell>
          <cell r="B80" t="str">
            <v>SECRETARÍA DE ECONOMÍA Ramo 10</v>
          </cell>
          <cell r="C80"/>
          <cell r="D80"/>
        </row>
        <row r="81">
          <cell r="A81">
            <v>577</v>
          </cell>
          <cell r="B81" t="str">
            <v>SUBSIDIO SEGURIDAD PÚBLICA MUNICIPAL</v>
          </cell>
          <cell r="C81"/>
          <cell r="D81"/>
        </row>
        <row r="82">
          <cell r="A82">
            <v>578</v>
          </cell>
          <cell r="B82" t="str">
            <v>FIDEICOMISO PARA LA INFRAESTRUCTURA DE LOS ESTADOS Ramo 23</v>
          </cell>
          <cell r="C82"/>
          <cell r="D82"/>
        </row>
        <row r="83">
          <cell r="A83">
            <v>579</v>
          </cell>
          <cell r="B83" t="str">
            <v>APOYO FINANCIERO EXTRAORDINARIO UABCS Ramo 11</v>
          </cell>
          <cell r="C83"/>
          <cell r="D83"/>
        </row>
        <row r="84">
          <cell r="A84">
            <v>580</v>
          </cell>
          <cell r="B84" t="str">
            <v>APOYO FINANCIERO EXTRAORDINARIO ISIFE Ramo 11</v>
          </cell>
          <cell r="C84"/>
          <cell r="D84"/>
        </row>
        <row r="85">
          <cell r="A85">
            <v>581</v>
          </cell>
          <cell r="B85" t="str">
            <v>SUBSIDIO POLICÍA ESTATAL ACREDITABLE (SPA)</v>
          </cell>
          <cell r="C85"/>
          <cell r="D85"/>
        </row>
        <row r="86">
          <cell r="A86">
            <v>582</v>
          </cell>
          <cell r="B86" t="str">
            <v>PROASP PROG. DE ALCANCE NAL. EN MAT. DE SEG. PUB. Ramo 04</v>
          </cell>
          <cell r="C86"/>
          <cell r="D86"/>
        </row>
        <row r="87">
          <cell r="A87">
            <v>583</v>
          </cell>
          <cell r="B87" t="str">
            <v>INGRESOS EXTRAORDINARIOS</v>
          </cell>
          <cell r="C87"/>
          <cell r="D87"/>
        </row>
        <row r="88">
          <cell r="A88">
            <v>584</v>
          </cell>
          <cell r="B88" t="str">
            <v>INGRESOS DERIVADOS DEL 5 AL MILLAR (OBRA)</v>
          </cell>
          <cell r="C88"/>
          <cell r="D88"/>
        </row>
        <row r="89">
          <cell r="A89">
            <v>585</v>
          </cell>
          <cell r="B89" t="str">
            <v>INGRESOS EXT Ramo 23 ( Provisiones Salariales y Económicas )</v>
          </cell>
          <cell r="C89"/>
          <cell r="D89"/>
        </row>
        <row r="90">
          <cell r="A90">
            <v>586</v>
          </cell>
          <cell r="B90" t="str">
            <v>INGRESOS EXT Ramo 21 (TURISMO)</v>
          </cell>
          <cell r="C90"/>
          <cell r="D90"/>
        </row>
        <row r="91">
          <cell r="A91">
            <v>587</v>
          </cell>
          <cell r="B91" t="str">
            <v>INGRESOS EXT Ramo 11 (SEP)</v>
          </cell>
          <cell r="C91"/>
          <cell r="D91"/>
        </row>
        <row r="92">
          <cell r="A92">
            <v>588</v>
          </cell>
          <cell r="B92" t="str">
            <v>INGRESOS EXT Ramo 09 (SCT)</v>
          </cell>
          <cell r="C92"/>
          <cell r="D92"/>
        </row>
        <row r="93">
          <cell r="A93">
            <v>589</v>
          </cell>
          <cell r="B93" t="str">
            <v>INGRESOS EXT Ramo 16 (SEMARNAT)</v>
          </cell>
          <cell r="C93"/>
          <cell r="D93"/>
        </row>
        <row r="94">
          <cell r="A94">
            <v>590</v>
          </cell>
          <cell r="B94" t="str">
            <v>INGRESOS EXT FORTASEG Ramo 04 (GOBERNACIÓN)</v>
          </cell>
          <cell r="C94"/>
          <cell r="D94"/>
        </row>
        <row r="95">
          <cell r="A95">
            <v>591</v>
          </cell>
          <cell r="B95" t="str">
            <v>INGRESOS EXT Ramo 20 (BIENESTAR)</v>
          </cell>
          <cell r="C95"/>
          <cell r="D95"/>
        </row>
        <row r="96">
          <cell r="A96">
            <v>598</v>
          </cell>
          <cell r="B96" t="str">
            <v>REMANENTE FONE 2016</v>
          </cell>
          <cell r="C96"/>
          <cell r="D96"/>
        </row>
        <row r="97">
          <cell r="A97">
            <v>599</v>
          </cell>
          <cell r="B97" t="str">
            <v>REMANENTE FONE 2015</v>
          </cell>
          <cell r="C97"/>
          <cell r="D97"/>
        </row>
        <row r="98">
          <cell r="A98">
            <v>700</v>
          </cell>
          <cell r="B98" t="str">
            <v>OTROS RECURSOS</v>
          </cell>
          <cell r="C98"/>
          <cell r="D98"/>
        </row>
        <row r="99">
          <cell r="A99">
            <v>736</v>
          </cell>
          <cell r="B99" t="str">
            <v>RENDIMIENTOS FONE</v>
          </cell>
          <cell r="C99"/>
          <cell r="D99"/>
        </row>
        <row r="100">
          <cell r="A100">
            <v>737</v>
          </cell>
          <cell r="B100" t="str">
            <v>RENDIMIENTOS FAM</v>
          </cell>
          <cell r="C100"/>
          <cell r="D100"/>
        </row>
        <row r="101">
          <cell r="A101">
            <v>747</v>
          </cell>
          <cell r="B101" t="str">
            <v>RENDIMIENTOS FASP</v>
          </cell>
          <cell r="C101"/>
          <cell r="D101"/>
        </row>
        <row r="102">
          <cell r="A102">
            <v>783</v>
          </cell>
          <cell r="B102" t="str">
            <v>INGRESOS EXTRAORDINARIOS (OTROS)</v>
          </cell>
          <cell r="C102"/>
          <cell r="D102"/>
        </row>
      </sheetData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AS 2000"/>
      <sheetName val="PAAS 3000"/>
      <sheetName val="PAAS 5000"/>
      <sheetName val="CAPITULO"/>
      <sheetName val="PARTIDA"/>
      <sheetName val="COG"/>
      <sheetName val="FF"/>
      <sheetName val="PROCED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CUENTA</v>
          </cell>
          <cell r="B1" t="str">
            <v>CONCEPTO</v>
          </cell>
          <cell r="C1" t="str">
            <v>AFECTABLE/ NO
AFECTABLE</v>
          </cell>
        </row>
        <row r="2">
          <cell r="A2">
            <v>210000</v>
          </cell>
          <cell r="B2" t="str">
            <v>MATERIALES DE ADMINISTRACIÓN, EMISIÓN DE DOCUMENTOS Y ARTÍCULO OFICIALES</v>
          </cell>
          <cell r="C2" t="str">
            <v>N</v>
          </cell>
        </row>
        <row r="3">
          <cell r="A3">
            <v>211000</v>
          </cell>
          <cell r="B3" t="str">
            <v>Materiales, útiles y equipos menores de oficina</v>
          </cell>
          <cell r="C3" t="str">
            <v>N</v>
          </cell>
        </row>
        <row r="4">
          <cell r="A4">
            <v>211001</v>
          </cell>
          <cell r="B4" t="str">
            <v>Material de oficina</v>
          </cell>
          <cell r="C4" t="str">
            <v>S</v>
          </cell>
        </row>
        <row r="5">
          <cell r="A5">
            <v>212000</v>
          </cell>
          <cell r="B5" t="str">
            <v>Materiales y útiles de impresión y reproducción</v>
          </cell>
          <cell r="C5" t="str">
            <v>N</v>
          </cell>
        </row>
        <row r="6">
          <cell r="A6">
            <v>212001</v>
          </cell>
          <cell r="B6" t="str">
            <v>Material y útiles de impresión</v>
          </cell>
          <cell r="C6" t="str">
            <v>S</v>
          </cell>
        </row>
        <row r="7">
          <cell r="A7">
            <v>213000</v>
          </cell>
          <cell r="B7" t="str">
            <v>Material estadístico y geográfico</v>
          </cell>
          <cell r="C7" t="str">
            <v>N</v>
          </cell>
        </row>
        <row r="8">
          <cell r="A8">
            <v>213001</v>
          </cell>
          <cell r="B8" t="str">
            <v>Material estadístico y geográfico</v>
          </cell>
          <cell r="C8" t="str">
            <v>S</v>
          </cell>
        </row>
        <row r="9">
          <cell r="A9">
            <v>214000</v>
          </cell>
          <cell r="B9" t="str">
            <v>Materiales, útiles y equipos menores de tecnologías de la información y comunicaciones</v>
          </cell>
          <cell r="C9" t="str">
            <v>N</v>
          </cell>
        </row>
        <row r="10">
          <cell r="A10">
            <v>214001</v>
          </cell>
          <cell r="B10" t="str">
            <v>Materiales, útiles y equipos menores de tecnologías de la información y comunicaciones</v>
          </cell>
          <cell r="C10" t="str">
            <v>S</v>
          </cell>
        </row>
        <row r="11">
          <cell r="A11">
            <v>215000</v>
          </cell>
          <cell r="B11" t="str">
            <v>Material impreso e información digital</v>
          </cell>
          <cell r="C11" t="str">
            <v>N</v>
          </cell>
        </row>
        <row r="12">
          <cell r="A12">
            <v>215001</v>
          </cell>
          <cell r="B12" t="str">
            <v>Material didáctico</v>
          </cell>
          <cell r="C12" t="str">
            <v>S</v>
          </cell>
        </row>
        <row r="13">
          <cell r="A13">
            <v>215002</v>
          </cell>
          <cell r="B13" t="str">
            <v>Suscripciones a Periódicos, Revistas y Publicaciones Especializadas</v>
          </cell>
          <cell r="C13" t="str">
            <v>S</v>
          </cell>
        </row>
        <row r="14">
          <cell r="A14">
            <v>215003</v>
          </cell>
          <cell r="B14" t="str">
            <v>Material impreso e información digital</v>
          </cell>
          <cell r="C14" t="str">
            <v>S</v>
          </cell>
        </row>
        <row r="15">
          <cell r="A15">
            <v>216000</v>
          </cell>
          <cell r="B15" t="str">
            <v>Material de limpieza</v>
          </cell>
          <cell r="C15" t="str">
            <v>N</v>
          </cell>
        </row>
        <row r="16">
          <cell r="A16">
            <v>216001</v>
          </cell>
          <cell r="B16" t="str">
            <v>Material de limpieza</v>
          </cell>
          <cell r="C16" t="str">
            <v>S</v>
          </cell>
        </row>
        <row r="17">
          <cell r="A17">
            <v>217000</v>
          </cell>
          <cell r="B17" t="str">
            <v>Materiales y útiles de enseñanza</v>
          </cell>
          <cell r="C17" t="str">
            <v>N</v>
          </cell>
        </row>
        <row r="18">
          <cell r="A18">
            <v>217001</v>
          </cell>
          <cell r="B18" t="str">
            <v>Materiales y útiles de enseñanza</v>
          </cell>
          <cell r="C18" t="str">
            <v>S</v>
          </cell>
        </row>
        <row r="19">
          <cell r="A19">
            <v>218000</v>
          </cell>
          <cell r="B19" t="str">
            <v>Materiales para el registro e identificación de bienes y personas</v>
          </cell>
          <cell r="C19" t="str">
            <v>N</v>
          </cell>
        </row>
        <row r="20">
          <cell r="A20">
            <v>218001</v>
          </cell>
          <cell r="B20" t="str">
            <v>Materiales para el registro e identificación de bienes y personas</v>
          </cell>
          <cell r="C20" t="str">
            <v>S</v>
          </cell>
        </row>
        <row r="21">
          <cell r="A21">
            <v>218002</v>
          </cell>
          <cell r="B21" t="str">
            <v>Placas, Engomados, Calcomanías y Hologramas</v>
          </cell>
          <cell r="C21" t="str">
            <v>S</v>
          </cell>
        </row>
        <row r="22">
          <cell r="A22">
            <v>218003</v>
          </cell>
          <cell r="B22" t="str">
            <v>Emisión de Licencias de Conducir</v>
          </cell>
          <cell r="C22" t="str">
            <v>S</v>
          </cell>
        </row>
        <row r="23">
          <cell r="A23">
            <v>218004</v>
          </cell>
          <cell r="B23" t="str">
            <v>Emisión de Formatos Únicos de Control Vehicular</v>
          </cell>
          <cell r="C23" t="str">
            <v>S</v>
          </cell>
        </row>
        <row r="24">
          <cell r="A24">
            <v>220000</v>
          </cell>
          <cell r="B24" t="str">
            <v>ALIMENTOS Y UTENSILIOS</v>
          </cell>
          <cell r="C24" t="str">
            <v>N</v>
          </cell>
        </row>
        <row r="25">
          <cell r="A25">
            <v>221000</v>
          </cell>
          <cell r="B25" t="str">
            <v>Productos alimenticios para personas</v>
          </cell>
          <cell r="C25" t="str">
            <v>N</v>
          </cell>
        </row>
        <row r="26">
          <cell r="A26">
            <v>221001</v>
          </cell>
          <cell r="B26" t="str">
            <v>Alimentación de personas</v>
          </cell>
          <cell r="C26" t="str">
            <v>S</v>
          </cell>
        </row>
        <row r="27">
          <cell r="A27">
            <v>222000</v>
          </cell>
          <cell r="B27" t="str">
            <v>Productos alimenticios para animales</v>
          </cell>
          <cell r="C27" t="str">
            <v>N</v>
          </cell>
        </row>
        <row r="28">
          <cell r="A28">
            <v>222001</v>
          </cell>
          <cell r="B28" t="str">
            <v>Alimentación de animales</v>
          </cell>
          <cell r="C28" t="str">
            <v>S</v>
          </cell>
        </row>
        <row r="29">
          <cell r="A29">
            <v>223000</v>
          </cell>
          <cell r="B29" t="str">
            <v>Utensilios para el servicio de alimentación</v>
          </cell>
          <cell r="C29" t="str">
            <v>N</v>
          </cell>
        </row>
        <row r="30">
          <cell r="A30">
            <v>223001</v>
          </cell>
          <cell r="B30" t="str">
            <v>Utensilios para el servicio de alimentación</v>
          </cell>
          <cell r="C30" t="str">
            <v>S</v>
          </cell>
        </row>
        <row r="31">
          <cell r="A31">
            <v>230000</v>
          </cell>
          <cell r="B31" t="str">
            <v>MATERIAS PRIMAS Y MATERIALES DE PRODUCCIÓN Y COMERCIALIZACIÓN</v>
          </cell>
          <cell r="C31" t="str">
            <v>N</v>
          </cell>
        </row>
        <row r="32">
          <cell r="A32">
            <v>231000</v>
          </cell>
          <cell r="B32" t="str">
            <v>Productos alimenticios, agropecuarios y forestales adquiridos como materia prima</v>
          </cell>
          <cell r="C32" t="str">
            <v>N</v>
          </cell>
        </row>
        <row r="33">
          <cell r="A33">
            <v>231001</v>
          </cell>
          <cell r="B33" t="str">
            <v>Materias primas para producción</v>
          </cell>
          <cell r="C33" t="str">
            <v>S</v>
          </cell>
        </row>
        <row r="34">
          <cell r="A34">
            <v>232000</v>
          </cell>
          <cell r="B34" t="str">
            <v>Insumos textiles adquiridos como materia prima</v>
          </cell>
          <cell r="C34" t="str">
            <v>N</v>
          </cell>
        </row>
        <row r="35">
          <cell r="A35">
            <v>232001</v>
          </cell>
          <cell r="B35" t="str">
            <v>Insumos textiles adquiridos como materia prima</v>
          </cell>
          <cell r="C35" t="str">
            <v>S</v>
          </cell>
        </row>
        <row r="36">
          <cell r="A36">
            <v>233000</v>
          </cell>
          <cell r="B36" t="str">
            <v>Productos de papel, cartón e impresos adquiridos como materia prima</v>
          </cell>
          <cell r="C36" t="str">
            <v>N</v>
          </cell>
        </row>
        <row r="37">
          <cell r="A37">
            <v>233001</v>
          </cell>
          <cell r="B37" t="str">
            <v>Productos de papel, cartón e impresos adquiridos como materia prima</v>
          </cell>
          <cell r="C37" t="str">
            <v>S</v>
          </cell>
        </row>
        <row r="38">
          <cell r="A38">
            <v>234000</v>
          </cell>
          <cell r="B38" t="str">
            <v>Combustibles, lubricantes, aditivos, carbón y sus derivados adquiridos como materia prima</v>
          </cell>
          <cell r="C38" t="str">
            <v>N</v>
          </cell>
        </row>
        <row r="39">
          <cell r="A39">
            <v>234001</v>
          </cell>
          <cell r="B39" t="str">
            <v>Combustibles, lubricantes, aditivos, carbón y sus derivados adquiridos como materia prima</v>
          </cell>
          <cell r="C39" t="str">
            <v>S</v>
          </cell>
        </row>
        <row r="40">
          <cell r="A40">
            <v>235000</v>
          </cell>
          <cell r="B40" t="str">
            <v>Productos químicos, farmacéuticos y de laboratorio adquiridos como materia prima</v>
          </cell>
          <cell r="C40" t="str">
            <v>N</v>
          </cell>
        </row>
        <row r="41">
          <cell r="A41">
            <v>235001</v>
          </cell>
          <cell r="B41" t="str">
            <v>Productos químicos, farmacéuticos y de laboratorio adquiridos como materia prima</v>
          </cell>
          <cell r="C41" t="str">
            <v>S</v>
          </cell>
        </row>
        <row r="42">
          <cell r="A42">
            <v>236000</v>
          </cell>
          <cell r="B42" t="str">
            <v>Productos metálicos y a base de minerales no metálicos adquiridos como materia prima</v>
          </cell>
          <cell r="C42" t="str">
            <v>N</v>
          </cell>
        </row>
        <row r="43">
          <cell r="A43">
            <v>236001</v>
          </cell>
          <cell r="B43" t="str">
            <v>Productos metálicos y a base de minerales no metálicos adquiridos como materia prima</v>
          </cell>
          <cell r="C43" t="str">
            <v>S</v>
          </cell>
        </row>
        <row r="44">
          <cell r="A44">
            <v>237000</v>
          </cell>
          <cell r="B44" t="str">
            <v>Productos de cuero, piel, plástico y hule adquiridos como materia prima</v>
          </cell>
          <cell r="C44" t="str">
            <v>N</v>
          </cell>
        </row>
        <row r="45">
          <cell r="A45">
            <v>237001</v>
          </cell>
          <cell r="B45" t="str">
            <v>Productos de cuero, piel, plástico y hule adquiridos como materia prima</v>
          </cell>
          <cell r="C45" t="str">
            <v>S</v>
          </cell>
        </row>
        <row r="46">
          <cell r="A46">
            <v>238000</v>
          </cell>
          <cell r="B46" t="str">
            <v>Mercancías adquiridas para su comercialización</v>
          </cell>
          <cell r="C46" t="str">
            <v>N</v>
          </cell>
        </row>
        <row r="47">
          <cell r="A47">
            <v>238001</v>
          </cell>
          <cell r="B47" t="str">
            <v>Mercancías adquiridas para su comercialización</v>
          </cell>
          <cell r="C47" t="str">
            <v>S</v>
          </cell>
        </row>
        <row r="48">
          <cell r="A48">
            <v>240000</v>
          </cell>
          <cell r="B48" t="str">
            <v>MATERIALES Y ARTÍCULOS DE CONSTRUCCIÓN Y DE REPARACIÓN</v>
          </cell>
          <cell r="C48" t="str">
            <v>N</v>
          </cell>
        </row>
        <row r="49">
          <cell r="A49">
            <v>241000</v>
          </cell>
          <cell r="B49" t="str">
            <v>Productos minerales no metálicos</v>
          </cell>
          <cell r="C49" t="str">
            <v>N</v>
          </cell>
        </row>
        <row r="50">
          <cell r="A50">
            <v>241001</v>
          </cell>
          <cell r="B50" t="str">
            <v>Productos minerales no metálicos</v>
          </cell>
          <cell r="C50" t="str">
            <v>S</v>
          </cell>
        </row>
        <row r="51">
          <cell r="A51">
            <v>242000</v>
          </cell>
          <cell r="B51" t="str">
            <v>Cemento y productos de concreto</v>
          </cell>
          <cell r="C51" t="str">
            <v>N</v>
          </cell>
        </row>
        <row r="52">
          <cell r="A52">
            <v>242001</v>
          </cell>
          <cell r="B52" t="str">
            <v>Cemento y productos de concreto</v>
          </cell>
          <cell r="C52" t="str">
            <v>S</v>
          </cell>
        </row>
        <row r="53">
          <cell r="A53">
            <v>243000</v>
          </cell>
          <cell r="B53" t="str">
            <v>Cal, yeso y productos de yeso</v>
          </cell>
          <cell r="C53" t="str">
            <v>N</v>
          </cell>
        </row>
        <row r="54">
          <cell r="A54">
            <v>243001</v>
          </cell>
          <cell r="B54" t="str">
            <v>Cal, yeso y productos de yeso</v>
          </cell>
          <cell r="C54" t="str">
            <v>S</v>
          </cell>
        </row>
        <row r="55">
          <cell r="A55">
            <v>244000</v>
          </cell>
          <cell r="B55" t="str">
            <v>Madera y productos de madera</v>
          </cell>
          <cell r="C55" t="str">
            <v>N</v>
          </cell>
        </row>
        <row r="56">
          <cell r="A56">
            <v>244001</v>
          </cell>
          <cell r="B56" t="str">
            <v>Madera y productos de madera</v>
          </cell>
          <cell r="C56" t="str">
            <v>S</v>
          </cell>
        </row>
        <row r="57">
          <cell r="A57">
            <v>245000</v>
          </cell>
          <cell r="B57" t="str">
            <v>Vidrio y productos de vidrio</v>
          </cell>
          <cell r="C57" t="str">
            <v>N</v>
          </cell>
        </row>
        <row r="58">
          <cell r="A58">
            <v>245001</v>
          </cell>
          <cell r="B58" t="str">
            <v>Vidrio y productos de vidrio</v>
          </cell>
          <cell r="C58" t="str">
            <v>S</v>
          </cell>
        </row>
        <row r="59">
          <cell r="A59">
            <v>246000</v>
          </cell>
          <cell r="B59" t="str">
            <v>Material eléctrico y electrónico</v>
          </cell>
          <cell r="C59" t="str">
            <v>N</v>
          </cell>
        </row>
        <row r="60">
          <cell r="A60">
            <v>246001</v>
          </cell>
          <cell r="B60" t="str">
            <v>Material eléctrico</v>
          </cell>
          <cell r="C60" t="str">
            <v>S</v>
          </cell>
        </row>
        <row r="61">
          <cell r="A61">
            <v>246002</v>
          </cell>
          <cell r="B61" t="str">
            <v>Material electrónico</v>
          </cell>
          <cell r="C61" t="str">
            <v>S</v>
          </cell>
        </row>
        <row r="62">
          <cell r="A62">
            <v>247000</v>
          </cell>
          <cell r="B62" t="str">
            <v>Artículos metálicos para la construcción</v>
          </cell>
          <cell r="C62" t="str">
            <v>N</v>
          </cell>
        </row>
        <row r="63">
          <cell r="A63">
            <v>247001</v>
          </cell>
          <cell r="B63" t="str">
            <v>Artículos metálicos para la construcción</v>
          </cell>
          <cell r="C63" t="str">
            <v>S</v>
          </cell>
        </row>
        <row r="64">
          <cell r="A64">
            <v>248000</v>
          </cell>
          <cell r="B64" t="str">
            <v>Materiales complementarios</v>
          </cell>
          <cell r="C64" t="str">
            <v>N</v>
          </cell>
        </row>
        <row r="65">
          <cell r="A65">
            <v>248001</v>
          </cell>
          <cell r="B65" t="str">
            <v>Materiales complementarios</v>
          </cell>
          <cell r="C65" t="str">
            <v>S</v>
          </cell>
        </row>
        <row r="66">
          <cell r="A66">
            <v>249000</v>
          </cell>
          <cell r="B66" t="str">
            <v>Otros materiales y artículos de construcción y reparación</v>
          </cell>
          <cell r="C66" t="str">
            <v>N</v>
          </cell>
        </row>
        <row r="67">
          <cell r="A67">
            <v>249001</v>
          </cell>
          <cell r="B67" t="str">
            <v>Materiales de construcción y complementarios</v>
          </cell>
          <cell r="C67" t="str">
            <v>S</v>
          </cell>
        </row>
        <row r="68">
          <cell r="A68">
            <v>249002</v>
          </cell>
          <cell r="B68" t="str">
            <v>Otros materiales de construcción y reparación</v>
          </cell>
          <cell r="C68" t="str">
            <v>S</v>
          </cell>
        </row>
        <row r="69">
          <cell r="A69">
            <v>250000</v>
          </cell>
          <cell r="B69" t="str">
            <v>PRODUCTOS QUÍMICOS, FARMACÉUTICOS Y DE LABORATORIO</v>
          </cell>
          <cell r="C69" t="str">
            <v>N</v>
          </cell>
        </row>
        <row r="70">
          <cell r="A70">
            <v>251000</v>
          </cell>
          <cell r="B70" t="str">
            <v>Productos químicos básicos</v>
          </cell>
          <cell r="C70" t="str">
            <v>N</v>
          </cell>
        </row>
        <row r="71">
          <cell r="A71">
            <v>251001</v>
          </cell>
          <cell r="B71" t="str">
            <v>Gas Refrigerante</v>
          </cell>
          <cell r="C71" t="str">
            <v>S</v>
          </cell>
        </row>
        <row r="72">
          <cell r="A72">
            <v>252000</v>
          </cell>
          <cell r="B72" t="str">
            <v>Fertilizantes, pesticidas y otros agroquímicos</v>
          </cell>
          <cell r="C72" t="str">
            <v>N</v>
          </cell>
        </row>
        <row r="73">
          <cell r="A73">
            <v>252001</v>
          </cell>
          <cell r="B73" t="str">
            <v>Fertilizantes, pesticidas y otros agroquímicos</v>
          </cell>
          <cell r="C73" t="str">
            <v>S</v>
          </cell>
        </row>
        <row r="74">
          <cell r="A74">
            <v>253000</v>
          </cell>
          <cell r="B74" t="str">
            <v>Medicinas y productos químicos, farmacéuticos</v>
          </cell>
          <cell r="C74" t="str">
            <v>N</v>
          </cell>
        </row>
        <row r="75">
          <cell r="A75">
            <v>253001</v>
          </cell>
          <cell r="B75" t="str">
            <v>Material y productos químicos, farmacéuticos</v>
          </cell>
          <cell r="C75" t="str">
            <v>S</v>
          </cell>
        </row>
        <row r="76">
          <cell r="A76">
            <v>254000</v>
          </cell>
          <cell r="B76" t="str">
            <v>Materiales, accesorios y suministros médicos</v>
          </cell>
          <cell r="C76" t="str">
            <v>N</v>
          </cell>
        </row>
        <row r="77">
          <cell r="A77">
            <v>254001</v>
          </cell>
          <cell r="B77" t="str">
            <v>Materiales, accesorios y suministros médicos</v>
          </cell>
          <cell r="C77" t="str">
            <v>S</v>
          </cell>
        </row>
        <row r="78">
          <cell r="A78">
            <v>255000</v>
          </cell>
          <cell r="B78" t="str">
            <v>Materiales, accesorios y suministros de laboratorio</v>
          </cell>
          <cell r="C78" t="str">
            <v>N</v>
          </cell>
        </row>
        <row r="79">
          <cell r="A79">
            <v>255001</v>
          </cell>
          <cell r="B79" t="str">
            <v>Materiales, accesorios y suministros de laboratorio</v>
          </cell>
          <cell r="C79" t="str">
            <v>S</v>
          </cell>
        </row>
        <row r="80">
          <cell r="A80">
            <v>256000</v>
          </cell>
          <cell r="B80" t="str">
            <v>Fibras sintéticas, hules, plásticos y derivados</v>
          </cell>
          <cell r="C80" t="str">
            <v>N</v>
          </cell>
        </row>
        <row r="81">
          <cell r="A81">
            <v>256001</v>
          </cell>
          <cell r="B81" t="str">
            <v>Fibras sintéticas, hules, plásticos y derivados</v>
          </cell>
          <cell r="C81" t="str">
            <v>S</v>
          </cell>
        </row>
        <row r="82">
          <cell r="A82">
            <v>259000</v>
          </cell>
          <cell r="B82" t="str">
            <v>Otros productos químicos</v>
          </cell>
          <cell r="C82" t="str">
            <v>N</v>
          </cell>
        </row>
        <row r="83">
          <cell r="A83">
            <v>259001</v>
          </cell>
          <cell r="B83" t="str">
            <v>Otros productos químicos</v>
          </cell>
          <cell r="C83" t="str">
            <v>S</v>
          </cell>
        </row>
        <row r="84">
          <cell r="A84">
            <v>260000</v>
          </cell>
          <cell r="B84" t="str">
            <v>COMBUSTIBLES, LUBRICANTES Y ADITIVOS</v>
          </cell>
          <cell r="C84" t="str">
            <v>N</v>
          </cell>
        </row>
        <row r="85">
          <cell r="A85">
            <v>261000</v>
          </cell>
          <cell r="B85" t="str">
            <v>Combustibles, lubricantes y aditivos</v>
          </cell>
          <cell r="C85" t="str">
            <v>N</v>
          </cell>
        </row>
        <row r="86">
          <cell r="A86">
            <v>261001</v>
          </cell>
          <cell r="B86" t="str">
            <v>Combustibles</v>
          </cell>
          <cell r="C86" t="str">
            <v>S</v>
          </cell>
        </row>
        <row r="87">
          <cell r="A87">
            <v>261002</v>
          </cell>
          <cell r="B87" t="str">
            <v>Lubricantes y aditivos</v>
          </cell>
          <cell r="C87" t="str">
            <v>S</v>
          </cell>
        </row>
        <row r="88">
          <cell r="A88">
            <v>262000</v>
          </cell>
          <cell r="B88" t="str">
            <v>Carbón y sus derivados</v>
          </cell>
          <cell r="C88" t="str">
            <v>N</v>
          </cell>
        </row>
        <row r="89">
          <cell r="A89">
            <v>262001</v>
          </cell>
          <cell r="B89" t="str">
            <v>Carbón y sus derivados</v>
          </cell>
          <cell r="C89" t="str">
            <v>S</v>
          </cell>
        </row>
        <row r="90">
          <cell r="A90">
            <v>270000</v>
          </cell>
          <cell r="B90" t="str">
            <v>VESTUARIO, BLANCOS, PRENDAS DE PROTECCIÓN Y ARTÍCULOS DEPORTIVOS</v>
          </cell>
          <cell r="C90" t="str">
            <v>N</v>
          </cell>
        </row>
        <row r="91">
          <cell r="A91">
            <v>271000</v>
          </cell>
          <cell r="B91" t="str">
            <v>Vestuario y uniformes</v>
          </cell>
          <cell r="C91" t="str">
            <v>N</v>
          </cell>
        </row>
        <row r="92">
          <cell r="A92">
            <v>271001</v>
          </cell>
          <cell r="B92" t="str">
            <v>Ropa, vestuario y equipo</v>
          </cell>
          <cell r="C92" t="str">
            <v>S</v>
          </cell>
        </row>
        <row r="93">
          <cell r="A93">
            <v>272000</v>
          </cell>
          <cell r="B93" t="str">
            <v>Prendas de seguridad y protección personal</v>
          </cell>
          <cell r="C93" t="str">
            <v>N</v>
          </cell>
        </row>
        <row r="94">
          <cell r="A94">
            <v>272001</v>
          </cell>
          <cell r="B94" t="str">
            <v>Materiales explosivos y de seguridad pública</v>
          </cell>
          <cell r="C94" t="str">
            <v>S</v>
          </cell>
        </row>
        <row r="95">
          <cell r="A95">
            <v>272002</v>
          </cell>
          <cell r="B95" t="str">
            <v>Prendas de seguridad y protección personal</v>
          </cell>
          <cell r="C95" t="str">
            <v>S</v>
          </cell>
        </row>
        <row r="96">
          <cell r="A96">
            <v>273000</v>
          </cell>
          <cell r="B96" t="str">
            <v>Artículos deportivos</v>
          </cell>
          <cell r="C96" t="str">
            <v>N</v>
          </cell>
        </row>
        <row r="97">
          <cell r="A97">
            <v>273001</v>
          </cell>
          <cell r="B97" t="str">
            <v>Artículos deportivos</v>
          </cell>
          <cell r="C97" t="str">
            <v>S</v>
          </cell>
        </row>
        <row r="98">
          <cell r="A98">
            <v>274000</v>
          </cell>
          <cell r="B98" t="str">
            <v>Productos textiles</v>
          </cell>
          <cell r="C98" t="str">
            <v>N</v>
          </cell>
        </row>
        <row r="99">
          <cell r="A99">
            <v>274001</v>
          </cell>
          <cell r="B99" t="str">
            <v>Productos textiles</v>
          </cell>
          <cell r="C99" t="str">
            <v>S</v>
          </cell>
        </row>
        <row r="100">
          <cell r="A100">
            <v>275000</v>
          </cell>
          <cell r="B100" t="str">
            <v>Blancos y otros productos textiles, excepto prendas de vestir</v>
          </cell>
          <cell r="C100" t="str">
            <v>N</v>
          </cell>
        </row>
        <row r="101">
          <cell r="A101">
            <v>275001</v>
          </cell>
          <cell r="B101" t="str">
            <v>Blancos y otros productos textiles, excepto prendas de vestir</v>
          </cell>
          <cell r="C101" t="str">
            <v>S</v>
          </cell>
        </row>
        <row r="102">
          <cell r="A102">
            <v>280000</v>
          </cell>
          <cell r="B102" t="str">
            <v>MATERIALES Y SUMINISTROS PARA SEGURIDAD</v>
          </cell>
          <cell r="C102" t="str">
            <v>N</v>
          </cell>
        </row>
        <row r="103">
          <cell r="A103">
            <v>281000</v>
          </cell>
          <cell r="B103" t="str">
            <v>Sustancias y materiales explosivos</v>
          </cell>
          <cell r="C103" t="str">
            <v>N</v>
          </cell>
        </row>
        <row r="104">
          <cell r="A104">
            <v>281001</v>
          </cell>
          <cell r="B104" t="str">
            <v>Sustancias y materiales explosivos</v>
          </cell>
          <cell r="C104" t="str">
            <v>S</v>
          </cell>
        </row>
        <row r="105">
          <cell r="A105">
            <v>282000</v>
          </cell>
          <cell r="B105" t="str">
            <v>Materiales de seguridad pública</v>
          </cell>
          <cell r="C105" t="str">
            <v>N</v>
          </cell>
        </row>
        <row r="106">
          <cell r="A106">
            <v>282001</v>
          </cell>
          <cell r="B106" t="str">
            <v>Materiales de seguridad pública</v>
          </cell>
          <cell r="C106" t="str">
            <v>S</v>
          </cell>
        </row>
        <row r="107">
          <cell r="A107">
            <v>283000</v>
          </cell>
          <cell r="B107" t="str">
            <v>Prendas de protección para seguridad pública y nacional</v>
          </cell>
          <cell r="C107" t="str">
            <v>N</v>
          </cell>
        </row>
        <row r="108">
          <cell r="A108">
            <v>283001</v>
          </cell>
          <cell r="B108" t="str">
            <v>Prendas de protección para seguridad pública</v>
          </cell>
          <cell r="C108" t="str">
            <v>S</v>
          </cell>
        </row>
        <row r="109">
          <cell r="A109">
            <v>290000</v>
          </cell>
          <cell r="B109" t="str">
            <v>HERRAMIENTAS, REFACCIONES Y ACCESORIOS MENORES</v>
          </cell>
          <cell r="C109" t="str">
            <v>N</v>
          </cell>
        </row>
        <row r="110">
          <cell r="A110">
            <v>291000</v>
          </cell>
          <cell r="B110" t="str">
            <v>Herramientas menores</v>
          </cell>
          <cell r="C110" t="str">
            <v>N</v>
          </cell>
        </row>
        <row r="111">
          <cell r="A111">
            <v>291001</v>
          </cell>
          <cell r="B111" t="str">
            <v>Herramientas Auxiliares de Trabajo</v>
          </cell>
          <cell r="C111" t="str">
            <v>S</v>
          </cell>
        </row>
        <row r="112">
          <cell r="A112">
            <v>292000</v>
          </cell>
          <cell r="B112" t="str">
            <v>Refacciones y accesorios menores de edificios</v>
          </cell>
          <cell r="C112" t="str">
            <v>N</v>
          </cell>
        </row>
        <row r="113">
          <cell r="A113">
            <v>292001</v>
          </cell>
          <cell r="B113" t="str">
            <v>Refacciones y accesorios menores de edificios (candados, cerraduras, chapas, llaves)</v>
          </cell>
          <cell r="C113" t="str">
            <v>S</v>
          </cell>
        </row>
        <row r="114">
          <cell r="A114">
            <v>293000</v>
          </cell>
          <cell r="B114" t="str">
            <v>Refacciones y accesorios menores de mobiliario y equipo de administración, educacional y recreativo</v>
          </cell>
          <cell r="C114" t="str">
            <v>N</v>
          </cell>
        </row>
        <row r="115">
          <cell r="A115">
            <v>293001</v>
          </cell>
          <cell r="B115" t="str">
            <v>Refacciones y accesorios menores de mobiliario y equipo de administración, educacional y recreativo</v>
          </cell>
          <cell r="C115" t="str">
            <v>S</v>
          </cell>
        </row>
        <row r="116">
          <cell r="A116">
            <v>294000</v>
          </cell>
          <cell r="B116" t="str">
            <v>Refacciones y accesorios menores de equipo de cómputo y tecnologías de la información</v>
          </cell>
          <cell r="C116" t="str">
            <v>N</v>
          </cell>
        </row>
        <row r="117">
          <cell r="A117">
            <v>294001</v>
          </cell>
          <cell r="B117" t="str">
            <v>Dispositivos Internos y Externos de Equipo de Computo</v>
          </cell>
          <cell r="C117" t="str">
            <v>S</v>
          </cell>
        </row>
        <row r="118">
          <cell r="A118">
            <v>294002</v>
          </cell>
          <cell r="B118" t="str">
            <v>Refacciones y Accesorios Menores de Equipo de Computo</v>
          </cell>
          <cell r="C118" t="str">
            <v>S</v>
          </cell>
        </row>
        <row r="119">
          <cell r="A119">
            <v>295000</v>
          </cell>
          <cell r="B119" t="str">
            <v>Refacciones y accesorios menores de equipo e instrumental médico y de laboratorio</v>
          </cell>
          <cell r="C119" t="str">
            <v>N</v>
          </cell>
        </row>
        <row r="120">
          <cell r="A120">
            <v>295001</v>
          </cell>
          <cell r="B120" t="str">
            <v>Refacciones y accesorios menores de equipo e instrumental médico y de laboratorio</v>
          </cell>
          <cell r="C120" t="str">
            <v>S</v>
          </cell>
        </row>
        <row r="121">
          <cell r="A121">
            <v>296000</v>
          </cell>
          <cell r="B121" t="str">
            <v>Refacciones y accesorios menores de equipo de transporte</v>
          </cell>
          <cell r="C121" t="str">
            <v>N</v>
          </cell>
        </row>
        <row r="122">
          <cell r="A122">
            <v>296001</v>
          </cell>
          <cell r="B122" t="str">
            <v>Herramientas, refacciones y accesorios</v>
          </cell>
          <cell r="C122" t="str">
            <v>S</v>
          </cell>
        </row>
        <row r="123">
          <cell r="A123">
            <v>297000</v>
          </cell>
          <cell r="B123" t="str">
            <v>Refacciones y accesorios menores de equipo de defensa y seguridad</v>
          </cell>
          <cell r="C123" t="str">
            <v>N</v>
          </cell>
        </row>
        <row r="124">
          <cell r="A124">
            <v>297001</v>
          </cell>
          <cell r="B124" t="str">
            <v>Refacciones y accesorios menores de equipo de defensa y seguridad</v>
          </cell>
          <cell r="C124" t="str">
            <v>S</v>
          </cell>
        </row>
        <row r="125">
          <cell r="A125">
            <v>298000</v>
          </cell>
          <cell r="B125" t="str">
            <v>Refacciones y accesorios menores de maquinaria y otros equipos</v>
          </cell>
          <cell r="C125" t="str">
            <v>N</v>
          </cell>
        </row>
        <row r="126">
          <cell r="A126">
            <v>298001</v>
          </cell>
          <cell r="B126" t="str">
            <v>Refacciones y accesorios menores de maquinaria y otros equipos</v>
          </cell>
          <cell r="C126" t="str">
            <v>S</v>
          </cell>
        </row>
        <row r="127">
          <cell r="A127">
            <v>299000</v>
          </cell>
          <cell r="B127" t="str">
            <v>Refacciones y accesorios menores otros bienes muebles</v>
          </cell>
          <cell r="C127" t="str">
            <v>N</v>
          </cell>
        </row>
        <row r="128">
          <cell r="A128">
            <v>299001</v>
          </cell>
          <cell r="B128" t="str">
            <v>Refacciones y accesorios menores otros bienes muebles</v>
          </cell>
          <cell r="C128" t="str">
            <v>S</v>
          </cell>
        </row>
        <row r="129">
          <cell r="A129">
            <v>300000</v>
          </cell>
          <cell r="B129" t="str">
            <v>SERVICIOS GENERALES</v>
          </cell>
          <cell r="C129" t="str">
            <v>N</v>
          </cell>
        </row>
        <row r="130">
          <cell r="A130">
            <v>310000</v>
          </cell>
          <cell r="B130" t="str">
            <v>SERVICIOS BÁSICOS</v>
          </cell>
          <cell r="C130" t="str">
            <v>N</v>
          </cell>
        </row>
        <row r="131">
          <cell r="A131">
            <v>311000</v>
          </cell>
          <cell r="B131" t="str">
            <v>Energía eléctrica</v>
          </cell>
          <cell r="C131" t="str">
            <v>N</v>
          </cell>
        </row>
        <row r="132">
          <cell r="A132">
            <v>311001</v>
          </cell>
          <cell r="B132" t="str">
            <v>Servicio de energía eléctrica</v>
          </cell>
          <cell r="C132" t="str">
            <v>S</v>
          </cell>
        </row>
        <row r="133">
          <cell r="A133">
            <v>311002</v>
          </cell>
          <cell r="B133" t="str">
            <v>Contratación del servicio de energía eléctrica</v>
          </cell>
          <cell r="C133" t="str">
            <v>S</v>
          </cell>
        </row>
        <row r="134">
          <cell r="A134">
            <v>312000</v>
          </cell>
          <cell r="B134" t="str">
            <v>Gas</v>
          </cell>
          <cell r="C134" t="str">
            <v>N</v>
          </cell>
        </row>
        <row r="135">
          <cell r="A135">
            <v>312001</v>
          </cell>
          <cell r="B135" t="str">
            <v>Servicio de Gas L.P.</v>
          </cell>
          <cell r="C135" t="str">
            <v>S</v>
          </cell>
        </row>
        <row r="136">
          <cell r="A136">
            <v>313000</v>
          </cell>
          <cell r="B136" t="str">
            <v>Agua</v>
          </cell>
          <cell r="C136" t="str">
            <v>N</v>
          </cell>
        </row>
        <row r="137">
          <cell r="A137">
            <v>313001</v>
          </cell>
          <cell r="B137" t="str">
            <v>Servicio de agua potable</v>
          </cell>
          <cell r="C137" t="str">
            <v>S</v>
          </cell>
        </row>
        <row r="138">
          <cell r="A138">
            <v>313002</v>
          </cell>
          <cell r="B138" t="str">
            <v>Contratación del servicio de agua potable</v>
          </cell>
          <cell r="C138" t="str">
            <v>S</v>
          </cell>
        </row>
        <row r="139">
          <cell r="A139">
            <v>314000</v>
          </cell>
          <cell r="B139" t="str">
            <v>Telefonía tradicional</v>
          </cell>
          <cell r="C139" t="str">
            <v>N</v>
          </cell>
        </row>
        <row r="140">
          <cell r="A140">
            <v>314001</v>
          </cell>
          <cell r="B140" t="str">
            <v>Servicio telefónico</v>
          </cell>
          <cell r="C140" t="str">
            <v>S</v>
          </cell>
        </row>
        <row r="141">
          <cell r="A141">
            <v>315000</v>
          </cell>
          <cell r="B141" t="str">
            <v>Telefonía celular</v>
          </cell>
          <cell r="C141" t="str">
            <v>N</v>
          </cell>
        </row>
        <row r="142">
          <cell r="A142">
            <v>315001</v>
          </cell>
          <cell r="B142" t="str">
            <v>Telefonía celular</v>
          </cell>
          <cell r="C142" t="str">
            <v>S</v>
          </cell>
        </row>
        <row r="143">
          <cell r="A143">
            <v>316000</v>
          </cell>
          <cell r="B143" t="str">
            <v>Servicios de telecomunicaciones y satélites</v>
          </cell>
          <cell r="C143" t="str">
            <v>N</v>
          </cell>
        </row>
        <row r="144">
          <cell r="A144">
            <v>316001</v>
          </cell>
          <cell r="B144" t="str">
            <v>Servicios de telecomunicaciones y satélites</v>
          </cell>
          <cell r="C144" t="str">
            <v>S</v>
          </cell>
        </row>
        <row r="145">
          <cell r="A145">
            <v>317000</v>
          </cell>
          <cell r="B145" t="str">
            <v>Servicios de acceso de Internet, redes y procesamiento de información</v>
          </cell>
          <cell r="C145" t="str">
            <v>N</v>
          </cell>
        </row>
        <row r="146">
          <cell r="A146">
            <v>317001</v>
          </cell>
          <cell r="B146" t="str">
            <v>Servicios de acceso de Internet, redes y procesamiento de información</v>
          </cell>
          <cell r="C146" t="str">
            <v>S</v>
          </cell>
        </row>
        <row r="147">
          <cell r="A147">
            <v>318000</v>
          </cell>
          <cell r="B147" t="str">
            <v>Servicios postales y telegráficos</v>
          </cell>
          <cell r="C147" t="str">
            <v>N</v>
          </cell>
        </row>
        <row r="148">
          <cell r="A148">
            <v>318001</v>
          </cell>
          <cell r="B148" t="str">
            <v>Servicio postal y telegráfico</v>
          </cell>
          <cell r="C148" t="str">
            <v>S</v>
          </cell>
        </row>
        <row r="149">
          <cell r="A149">
            <v>319000</v>
          </cell>
          <cell r="B149" t="str">
            <v>Servicios integrales y otros servicios</v>
          </cell>
          <cell r="C149" t="str">
            <v>N</v>
          </cell>
        </row>
        <row r="150">
          <cell r="A150">
            <v>319001</v>
          </cell>
          <cell r="B150" t="str">
            <v>Servicios Integrales</v>
          </cell>
          <cell r="C150" t="str">
            <v>S</v>
          </cell>
        </row>
        <row r="151">
          <cell r="A151">
            <v>320000</v>
          </cell>
          <cell r="B151" t="str">
            <v>SERVICIOS DE ARRENDAMIENTO</v>
          </cell>
          <cell r="C151" t="str">
            <v>N</v>
          </cell>
        </row>
        <row r="152">
          <cell r="A152">
            <v>321000</v>
          </cell>
          <cell r="B152" t="str">
            <v>Arrendamiento de terrenos</v>
          </cell>
          <cell r="C152" t="str">
            <v>N</v>
          </cell>
        </row>
        <row r="153">
          <cell r="A153">
            <v>321001</v>
          </cell>
          <cell r="B153" t="str">
            <v>Arrendamiento de terrenos</v>
          </cell>
          <cell r="C153" t="str">
            <v>S</v>
          </cell>
        </row>
        <row r="154">
          <cell r="A154">
            <v>322000</v>
          </cell>
          <cell r="B154" t="str">
            <v>Arrendamiento de edificios</v>
          </cell>
          <cell r="C154" t="str">
            <v>N</v>
          </cell>
        </row>
        <row r="155">
          <cell r="A155">
            <v>322001</v>
          </cell>
          <cell r="B155" t="str">
            <v>Arrendamiento de edificios</v>
          </cell>
          <cell r="C155" t="str">
            <v>S</v>
          </cell>
        </row>
        <row r="156">
          <cell r="A156">
            <v>323000</v>
          </cell>
          <cell r="B156" t="str">
            <v>Arrendamiento de mobiliario y equipo de administración, educacional y recreativo</v>
          </cell>
          <cell r="C156" t="str">
            <v>N</v>
          </cell>
        </row>
        <row r="157">
          <cell r="A157">
            <v>323001</v>
          </cell>
          <cell r="B157" t="str">
            <v>Arrendamiento de maquinaria y equipo</v>
          </cell>
          <cell r="C157" t="str">
            <v>S</v>
          </cell>
        </row>
        <row r="158">
          <cell r="A158">
            <v>323002</v>
          </cell>
          <cell r="B158" t="str">
            <v>Arrendamiento de maquinaria y equipo de Administración</v>
          </cell>
          <cell r="C158" t="str">
            <v>S</v>
          </cell>
        </row>
        <row r="159">
          <cell r="A159">
            <v>323003</v>
          </cell>
          <cell r="B159" t="str">
            <v>Arrendamiento de Equipo Educacional y Recreativo</v>
          </cell>
          <cell r="C159" t="str">
            <v>S</v>
          </cell>
        </row>
        <row r="160">
          <cell r="A160">
            <v>323004</v>
          </cell>
          <cell r="B160" t="str">
            <v>Arrendamiento de Mobiliario y Equipo</v>
          </cell>
          <cell r="C160" t="str">
            <v>S</v>
          </cell>
        </row>
        <row r="161">
          <cell r="A161">
            <v>324000</v>
          </cell>
          <cell r="B161" t="str">
            <v>Arrendamiento de equipo e instrumental médico y de laboratorio</v>
          </cell>
          <cell r="C161" t="str">
            <v>N</v>
          </cell>
        </row>
        <row r="162">
          <cell r="A162">
            <v>324001</v>
          </cell>
          <cell r="B162" t="str">
            <v>Arrendamiento de equipo e instrumental médico y de laboratorio</v>
          </cell>
          <cell r="C162" t="str">
            <v>S</v>
          </cell>
        </row>
        <row r="163">
          <cell r="A163">
            <v>325000</v>
          </cell>
          <cell r="B163" t="str">
            <v>Arrendamiento de equipo de transporte</v>
          </cell>
          <cell r="C163" t="str">
            <v>N</v>
          </cell>
        </row>
        <row r="164">
          <cell r="A164">
            <v>325001</v>
          </cell>
          <cell r="B164" t="str">
            <v>Arrendamiento de equipo de transporte</v>
          </cell>
          <cell r="C164" t="str">
            <v>S</v>
          </cell>
        </row>
        <row r="165">
          <cell r="A165">
            <v>326000</v>
          </cell>
          <cell r="B165" t="str">
            <v>Arrendamiento de maquinaria, otros equipos y herramientas</v>
          </cell>
          <cell r="C165" t="str">
            <v>N</v>
          </cell>
        </row>
        <row r="166">
          <cell r="A166">
            <v>326001</v>
          </cell>
          <cell r="B166" t="str">
            <v>Arrendamiento de maquinaria, otros equipos y herramientas</v>
          </cell>
          <cell r="C166" t="str">
            <v>S</v>
          </cell>
        </row>
        <row r="167">
          <cell r="A167">
            <v>327000</v>
          </cell>
          <cell r="B167" t="str">
            <v>Arrendamiento de activos intangibles</v>
          </cell>
          <cell r="C167" t="str">
            <v>N</v>
          </cell>
        </row>
        <row r="168">
          <cell r="A168">
            <v>327001</v>
          </cell>
          <cell r="B168" t="str">
            <v>Arrendamiento de activos intangibles</v>
          </cell>
          <cell r="C168" t="str">
            <v>S</v>
          </cell>
        </row>
        <row r="169">
          <cell r="A169">
            <v>328000</v>
          </cell>
          <cell r="B169" t="str">
            <v>Arrendamiento financiero</v>
          </cell>
          <cell r="C169" t="str">
            <v>N</v>
          </cell>
        </row>
        <row r="170">
          <cell r="A170">
            <v>328001</v>
          </cell>
          <cell r="B170" t="str">
            <v>Arrendamiento financiero</v>
          </cell>
          <cell r="C170" t="str">
            <v>S</v>
          </cell>
        </row>
        <row r="171">
          <cell r="A171">
            <v>328002</v>
          </cell>
          <cell r="B171" t="str">
            <v>Programa Estatal de Arrendamiento Vehicular</v>
          </cell>
          <cell r="C171" t="str">
            <v>S</v>
          </cell>
        </row>
        <row r="172">
          <cell r="A172">
            <v>329000</v>
          </cell>
          <cell r="B172" t="str">
            <v>Otros arrendamientos</v>
          </cell>
          <cell r="C172" t="str">
            <v>N</v>
          </cell>
        </row>
        <row r="173">
          <cell r="A173">
            <v>329001</v>
          </cell>
          <cell r="B173" t="str">
            <v>Arrendamientos especiales</v>
          </cell>
          <cell r="C173" t="str">
            <v>S</v>
          </cell>
        </row>
        <row r="174">
          <cell r="A174">
            <v>330000</v>
          </cell>
          <cell r="B174" t="str">
            <v>SERVICIOS PROFESIONALES, CIENTÍFICOS, TÉCNICOS Y OTROS SERVICIOS</v>
          </cell>
          <cell r="C174" t="str">
            <v>N</v>
          </cell>
        </row>
        <row r="175">
          <cell r="A175">
            <v>331000</v>
          </cell>
          <cell r="B175" t="str">
            <v>Servicios legales, de contabilidad, auditoría y relacionados</v>
          </cell>
          <cell r="C175" t="str">
            <v>N</v>
          </cell>
        </row>
        <row r="176">
          <cell r="A176">
            <v>331001</v>
          </cell>
          <cell r="B176" t="str">
            <v>Asesorías</v>
          </cell>
          <cell r="C176" t="str">
            <v>S</v>
          </cell>
        </row>
        <row r="177">
          <cell r="A177">
            <v>331002</v>
          </cell>
          <cell r="B177" t="str">
            <v>Servicios Notariales</v>
          </cell>
          <cell r="C177" t="str">
            <v>S</v>
          </cell>
        </row>
        <row r="178">
          <cell r="A178">
            <v>331003</v>
          </cell>
          <cell r="B178" t="str">
            <v>Consultoría y Gestión</v>
          </cell>
          <cell r="C178" t="str">
            <v>S</v>
          </cell>
        </row>
        <row r="179">
          <cell r="A179">
            <v>332000</v>
          </cell>
          <cell r="B179" t="str">
            <v>Servicios de diseño, arquitectura, ingeniería y actividades relacionadas</v>
          </cell>
          <cell r="C179" t="str">
            <v>N</v>
          </cell>
        </row>
        <row r="180">
          <cell r="A180">
            <v>332001</v>
          </cell>
          <cell r="B180" t="str">
            <v>Servicios de diseño, arquitectura, ingeniería y actividades relacionadas</v>
          </cell>
          <cell r="C180" t="str">
            <v>S</v>
          </cell>
        </row>
        <row r="181">
          <cell r="A181">
            <v>333000</v>
          </cell>
          <cell r="B181" t="str">
            <v>Servicios de consultoría administrativa, procesos, técnica y en tecnologías de la información</v>
          </cell>
          <cell r="C181" t="str">
            <v>N</v>
          </cell>
        </row>
        <row r="182">
          <cell r="A182">
            <v>333001</v>
          </cell>
          <cell r="B182" t="str">
            <v>Estudios e investigaciones</v>
          </cell>
          <cell r="C182" t="str">
            <v>S</v>
          </cell>
        </row>
        <row r="183">
          <cell r="A183">
            <v>333002</v>
          </cell>
          <cell r="B183" t="str">
            <v>Sistematización de la Armonización Contable y Presupuestal</v>
          </cell>
          <cell r="C183" t="str">
            <v>S</v>
          </cell>
        </row>
        <row r="184">
          <cell r="A184">
            <v>333003</v>
          </cell>
          <cell r="B184" t="str">
            <v>Servicios de consultoría administrativa, procesos, técnica y en tecnologías de la información</v>
          </cell>
          <cell r="C184" t="str">
            <v>S</v>
          </cell>
        </row>
        <row r="185">
          <cell r="A185">
            <v>334000</v>
          </cell>
          <cell r="B185" t="str">
            <v>Servicios de capacitación</v>
          </cell>
          <cell r="C185" t="str">
            <v>N</v>
          </cell>
        </row>
        <row r="186">
          <cell r="A186">
            <v>334001</v>
          </cell>
          <cell r="B186" t="str">
            <v>Cuotas e inscripciones</v>
          </cell>
          <cell r="C186" t="str">
            <v>S</v>
          </cell>
        </row>
        <row r="187">
          <cell r="A187">
            <v>334002</v>
          </cell>
          <cell r="B187" t="str">
            <v>Servicios de Capacitación</v>
          </cell>
          <cell r="C187" t="str">
            <v>S</v>
          </cell>
        </row>
        <row r="188">
          <cell r="A188">
            <v>335000</v>
          </cell>
          <cell r="B188" t="str">
            <v>Servicios de investigación científica y desarrollo</v>
          </cell>
          <cell r="C188" t="str">
            <v>N</v>
          </cell>
        </row>
        <row r="189">
          <cell r="A189">
            <v>335001</v>
          </cell>
          <cell r="B189" t="str">
            <v>Servicios de investigación científica y desarrollo</v>
          </cell>
          <cell r="C189" t="str">
            <v>S</v>
          </cell>
        </row>
        <row r="190">
          <cell r="A190">
            <v>336000</v>
          </cell>
          <cell r="B190" t="str">
            <v>Servicios de apoyo administrativo, traducción, fotocopiado e impresión</v>
          </cell>
          <cell r="C190" t="str">
            <v>N</v>
          </cell>
        </row>
        <row r="191">
          <cell r="A191">
            <v>336001</v>
          </cell>
          <cell r="B191" t="str">
            <v>Servicio de Fotocopiado, Enmicado y Encuadernación de Documentos.</v>
          </cell>
          <cell r="C191" t="str">
            <v>S</v>
          </cell>
        </row>
        <row r="192">
          <cell r="A192">
            <v>336002</v>
          </cell>
          <cell r="B192" t="str">
            <v>Servicio de Impresión y Elaboración de Material Informativo</v>
          </cell>
          <cell r="C192" t="str">
            <v>S</v>
          </cell>
        </row>
        <row r="193">
          <cell r="A193">
            <v>337000</v>
          </cell>
          <cell r="B193" t="str">
            <v>Servicios de protección y seguridad</v>
          </cell>
          <cell r="C193" t="str">
            <v>N</v>
          </cell>
        </row>
        <row r="194">
          <cell r="A194">
            <v>337001</v>
          </cell>
          <cell r="B194" t="str">
            <v>Dispositivo de seguridad pública</v>
          </cell>
          <cell r="C194" t="str">
            <v>S</v>
          </cell>
        </row>
        <row r="195">
          <cell r="A195">
            <v>338000</v>
          </cell>
          <cell r="B195" t="str">
            <v>Servicios de vigilancia</v>
          </cell>
          <cell r="C195" t="str">
            <v>N</v>
          </cell>
        </row>
        <row r="196">
          <cell r="A196">
            <v>338001</v>
          </cell>
          <cell r="B196" t="str">
            <v>Servicio de seguridad privada</v>
          </cell>
          <cell r="C196" t="str">
            <v>S</v>
          </cell>
        </row>
        <row r="197">
          <cell r="A197">
            <v>339000</v>
          </cell>
          <cell r="B197" t="str">
            <v>Servicios profesionales, científicos y técnicos integrales</v>
          </cell>
          <cell r="C197" t="str">
            <v>N</v>
          </cell>
        </row>
        <row r="198">
          <cell r="A198">
            <v>339001</v>
          </cell>
          <cell r="B198" t="str">
            <v>Servicios profesionales, científicos y técnicos integrales</v>
          </cell>
          <cell r="C198" t="str">
            <v>S</v>
          </cell>
        </row>
        <row r="199">
          <cell r="A199">
            <v>340000</v>
          </cell>
          <cell r="B199" t="str">
            <v>SERVICIOS FINANCIEROS, BANCARIOS Y COMERCIALES</v>
          </cell>
          <cell r="C199" t="str">
            <v>N</v>
          </cell>
        </row>
        <row r="200">
          <cell r="A200">
            <v>341000</v>
          </cell>
          <cell r="B200" t="str">
            <v>Servicios financieros y bancarios</v>
          </cell>
          <cell r="C200" t="str">
            <v>N</v>
          </cell>
        </row>
        <row r="201">
          <cell r="A201">
            <v>341001</v>
          </cell>
          <cell r="B201" t="str">
            <v>Comisiones, descuentos y otros servicios bancarios</v>
          </cell>
          <cell r="C201" t="str">
            <v>S</v>
          </cell>
        </row>
        <row r="202">
          <cell r="A202">
            <v>342000</v>
          </cell>
          <cell r="B202" t="str">
            <v>Servicios de cobranza, investigación crediticia y similar</v>
          </cell>
          <cell r="C202" t="str">
            <v>N</v>
          </cell>
        </row>
        <row r="203">
          <cell r="A203">
            <v>342001</v>
          </cell>
          <cell r="B203" t="str">
            <v>Servicios de cobranza, investigación crediticia y similar</v>
          </cell>
          <cell r="C203" t="str">
            <v>S</v>
          </cell>
        </row>
        <row r="204">
          <cell r="A204">
            <v>343000</v>
          </cell>
          <cell r="B204" t="str">
            <v>Servicios de recaudación, traslado y custodia de valores</v>
          </cell>
          <cell r="C204" t="str">
            <v>N</v>
          </cell>
        </row>
        <row r="205">
          <cell r="A205">
            <v>343001</v>
          </cell>
          <cell r="B205" t="str">
            <v>Servicios de recaudación, traslado y custodia de valores</v>
          </cell>
          <cell r="C205" t="str">
            <v>S</v>
          </cell>
        </row>
        <row r="206">
          <cell r="A206">
            <v>344000</v>
          </cell>
          <cell r="B206" t="str">
            <v>Seguros de responsabilidad patrimonial y fianzas</v>
          </cell>
          <cell r="C206" t="str">
            <v>N</v>
          </cell>
        </row>
        <row r="207">
          <cell r="A207">
            <v>344001</v>
          </cell>
          <cell r="B207" t="str">
            <v>Seguros de responsabilidad patrimonial y fianzas</v>
          </cell>
          <cell r="C207" t="str">
            <v>S</v>
          </cell>
        </row>
        <row r="208">
          <cell r="A208">
            <v>345000</v>
          </cell>
          <cell r="B208" t="str">
            <v>Seguro de bienes patrimoniales</v>
          </cell>
          <cell r="C208" t="str">
            <v>N</v>
          </cell>
        </row>
        <row r="209">
          <cell r="A209">
            <v>345001</v>
          </cell>
          <cell r="B209" t="str">
            <v>Seguros</v>
          </cell>
          <cell r="C209" t="str">
            <v>S</v>
          </cell>
        </row>
        <row r="210">
          <cell r="A210">
            <v>346000</v>
          </cell>
          <cell r="B210" t="str">
            <v>Almacenaje, envase y embalaje</v>
          </cell>
          <cell r="C210" t="str">
            <v>N</v>
          </cell>
        </row>
        <row r="211">
          <cell r="A211">
            <v>346001</v>
          </cell>
          <cell r="B211" t="str">
            <v>Almacenaje, envase y embalaje</v>
          </cell>
          <cell r="C211" t="str">
            <v>S</v>
          </cell>
        </row>
        <row r="212">
          <cell r="A212">
            <v>347000</v>
          </cell>
          <cell r="B212" t="str">
            <v>Fletes y maniobras</v>
          </cell>
          <cell r="C212" t="str">
            <v>N</v>
          </cell>
        </row>
        <row r="213">
          <cell r="A213">
            <v>347001</v>
          </cell>
          <cell r="B213" t="str">
            <v>Fletes, maniobras y almacenaje</v>
          </cell>
          <cell r="C213" t="str">
            <v>S</v>
          </cell>
        </row>
        <row r="214">
          <cell r="A214">
            <v>348000</v>
          </cell>
          <cell r="B214" t="str">
            <v>Comisiones por ventas</v>
          </cell>
          <cell r="C214" t="str">
            <v>N</v>
          </cell>
        </row>
        <row r="215">
          <cell r="A215">
            <v>348001</v>
          </cell>
          <cell r="B215" t="str">
            <v>Comisiones por ventas</v>
          </cell>
          <cell r="C215" t="str">
            <v>S</v>
          </cell>
        </row>
        <row r="216">
          <cell r="A216">
            <v>349000</v>
          </cell>
          <cell r="B216" t="str">
            <v>Servicios financieros, bancarios y comerciales integrales</v>
          </cell>
          <cell r="C216" t="str">
            <v>N</v>
          </cell>
        </row>
        <row r="217">
          <cell r="A217">
            <v>349001</v>
          </cell>
          <cell r="B217" t="str">
            <v>Servicios financieros, bancarios y comerciales integrales</v>
          </cell>
          <cell r="C217" t="str">
            <v>S</v>
          </cell>
        </row>
        <row r="218">
          <cell r="A218">
            <v>350000</v>
          </cell>
          <cell r="B218" t="str">
            <v>SERVICIOS DE INSTALACIÓN, REPARACIÓN, MANTENIMIENTO Y CONSERVACIÓN</v>
          </cell>
          <cell r="C218" t="str">
            <v>N</v>
          </cell>
        </row>
        <row r="219">
          <cell r="A219">
            <v>351000</v>
          </cell>
          <cell r="B219" t="str">
            <v>Conservación y mantenimiento menor de inmuebles</v>
          </cell>
          <cell r="C219" t="str">
            <v>N</v>
          </cell>
        </row>
        <row r="220">
          <cell r="A220">
            <v>351001</v>
          </cell>
          <cell r="B220" t="str">
            <v>Mantenimiento de inmuebles</v>
          </cell>
          <cell r="C220" t="str">
            <v>S</v>
          </cell>
        </row>
        <row r="221">
          <cell r="A221">
            <v>351002</v>
          </cell>
          <cell r="B221" t="str">
            <v>Fumigación de Inmuebles</v>
          </cell>
          <cell r="C221" t="str">
            <v>S</v>
          </cell>
        </row>
        <row r="222">
          <cell r="A222">
            <v>351003</v>
          </cell>
          <cell r="B222" t="str">
            <v>Mantto. y Conserv. de Inmuebles Sub Proc. Zona Norte</v>
          </cell>
          <cell r="C222" t="str">
            <v>S</v>
          </cell>
        </row>
        <row r="223">
          <cell r="A223">
            <v>352000</v>
          </cell>
          <cell r="B223" t="str">
            <v>Instalación, reparación y mantenimiento de mobiliario y equipo de administración, educacional y recreativo</v>
          </cell>
          <cell r="C223" t="str">
            <v>N</v>
          </cell>
        </row>
        <row r="224">
          <cell r="A224">
            <v>352001</v>
          </cell>
          <cell r="B224" t="str">
            <v>Mantenimiento de mobiliario y equipo</v>
          </cell>
          <cell r="C224" t="str">
            <v>S</v>
          </cell>
        </row>
        <row r="225">
          <cell r="A225">
            <v>352002</v>
          </cell>
          <cell r="B225" t="str">
            <v>Gastos de instalación</v>
          </cell>
          <cell r="C225" t="str">
            <v>S</v>
          </cell>
        </row>
        <row r="226">
          <cell r="A226">
            <v>352003</v>
          </cell>
          <cell r="B226" t="str">
            <v>Mantto. y Conservación Archivo General de Notarias del Gob. del Edo.</v>
          </cell>
          <cell r="C226" t="str">
            <v>S</v>
          </cell>
        </row>
        <row r="227">
          <cell r="A227">
            <v>353000</v>
          </cell>
          <cell r="B227" t="str">
            <v>Instalación, reparación y mantenimiento de equipo de cómputo y tecnología de la información</v>
          </cell>
          <cell r="C227" t="str">
            <v>N</v>
          </cell>
        </row>
        <row r="228">
          <cell r="A228">
            <v>353001</v>
          </cell>
          <cell r="B228" t="str">
            <v>Instalación, reparación y mantenimiento de equipo de cómputo y tecnología  de la información</v>
          </cell>
          <cell r="C228" t="str">
            <v>S</v>
          </cell>
        </row>
        <row r="229">
          <cell r="A229">
            <v>354000</v>
          </cell>
          <cell r="B229" t="str">
            <v>Instalación, reparación y mantenimiento de equipo e instrumental médico y de laboratorio</v>
          </cell>
          <cell r="C229" t="str">
            <v>N</v>
          </cell>
        </row>
        <row r="230">
          <cell r="A230">
            <v>354001</v>
          </cell>
          <cell r="B230" t="str">
            <v>Instalación, reparación y mantenimiento de equipo e instrumental médico y de laboratorio</v>
          </cell>
          <cell r="C230" t="str">
            <v>S</v>
          </cell>
        </row>
        <row r="231">
          <cell r="A231">
            <v>355000</v>
          </cell>
          <cell r="B231" t="str">
            <v>Reparación y mantenimiento de equipo de transporte</v>
          </cell>
          <cell r="C231" t="str">
            <v>N</v>
          </cell>
        </row>
        <row r="232">
          <cell r="A232">
            <v>355001</v>
          </cell>
          <cell r="B232" t="str">
            <v>Mantto. y conservación de vehículos terrestres, aéreos, marítimos, lacustres y fluviales</v>
          </cell>
          <cell r="C232" t="str">
            <v>S</v>
          </cell>
        </row>
        <row r="233">
          <cell r="A233">
            <v>356000</v>
          </cell>
          <cell r="B233" t="str">
            <v>Reparación y mantenimiento de equipo de defensa y seguridad</v>
          </cell>
          <cell r="C233" t="str">
            <v>N</v>
          </cell>
        </row>
        <row r="234">
          <cell r="A234">
            <v>356001</v>
          </cell>
          <cell r="B234" t="str">
            <v>Reparación y mantenimiento de equipo de defensa y seguridad</v>
          </cell>
          <cell r="C234" t="str">
            <v>S</v>
          </cell>
        </row>
        <row r="235">
          <cell r="A235">
            <v>357000</v>
          </cell>
          <cell r="B235" t="str">
            <v>Instalación, reparación y mantenimiento de maquinaria, otros equipos y herramienta</v>
          </cell>
          <cell r="C235" t="str">
            <v>N</v>
          </cell>
        </row>
        <row r="236">
          <cell r="A236">
            <v>357001</v>
          </cell>
          <cell r="B236" t="str">
            <v>Instalación, reparación y mantenimiento de Equipo de Telecomunicaciones</v>
          </cell>
          <cell r="C236" t="str">
            <v>S</v>
          </cell>
        </row>
        <row r="237">
          <cell r="A237">
            <v>357002</v>
          </cell>
          <cell r="B237" t="str">
            <v>Instalación, reparación y mantenimiento de maquinaria, otros equipos y herramienta</v>
          </cell>
          <cell r="C237" t="str">
            <v>S</v>
          </cell>
        </row>
        <row r="238">
          <cell r="A238">
            <v>358000</v>
          </cell>
          <cell r="B238" t="str">
            <v>Servicios de limpieza y manejo de desechos</v>
          </cell>
          <cell r="C238" t="str">
            <v>N</v>
          </cell>
        </row>
        <row r="239">
          <cell r="A239">
            <v>358001</v>
          </cell>
          <cell r="B239" t="str">
            <v>Servicios de higiene y limpieza</v>
          </cell>
          <cell r="C239" t="str">
            <v>S</v>
          </cell>
        </row>
        <row r="240">
          <cell r="A240">
            <v>358002</v>
          </cell>
          <cell r="B240" t="str">
            <v>Servicios de Limpieza y Lavado de Vehículos</v>
          </cell>
          <cell r="C240" t="str">
            <v>S</v>
          </cell>
        </row>
        <row r="241">
          <cell r="A241">
            <v>358003</v>
          </cell>
          <cell r="B241" t="str">
            <v>Servicios de Lavandería</v>
          </cell>
          <cell r="C241" t="str">
            <v>S</v>
          </cell>
        </row>
        <row r="242">
          <cell r="A242">
            <v>359000</v>
          </cell>
          <cell r="B242" t="str">
            <v>Servicios de jardinería y fumigación</v>
          </cell>
          <cell r="C242" t="str">
            <v>N</v>
          </cell>
        </row>
        <row r="243">
          <cell r="A243">
            <v>359001</v>
          </cell>
          <cell r="B243" t="str">
            <v>Árboles, plantas, semillas y abonos</v>
          </cell>
          <cell r="C243" t="str">
            <v>S</v>
          </cell>
        </row>
        <row r="244">
          <cell r="A244">
            <v>359002</v>
          </cell>
          <cell r="B244" t="str">
            <v>Fumigación de áreas verdes</v>
          </cell>
          <cell r="C244" t="str">
            <v>S</v>
          </cell>
        </row>
        <row r="245">
          <cell r="A245">
            <v>360000</v>
          </cell>
          <cell r="B245" t="str">
            <v>SERVICIOS DE COMUNICACIÓN SOCIAL Y PUBLICIDAD</v>
          </cell>
          <cell r="C245" t="str">
            <v>N</v>
          </cell>
        </row>
        <row r="246">
          <cell r="A246">
            <v>361000</v>
          </cell>
          <cell r="B246" t="str">
            <v>Difusión por radio, televisión y otros medios de mensajes sobre programas y actividades gubernamentales</v>
          </cell>
          <cell r="C246" t="str">
            <v>N</v>
          </cell>
        </row>
        <row r="247">
          <cell r="A247">
            <v>361001</v>
          </cell>
          <cell r="B247" t="str">
            <v>Gastos de difusión</v>
          </cell>
          <cell r="C247" t="str">
            <v>S</v>
          </cell>
        </row>
        <row r="248">
          <cell r="A248">
            <v>361002</v>
          </cell>
          <cell r="B248" t="str">
            <v>Impresiones y publicaciones oficiales</v>
          </cell>
          <cell r="C248" t="str">
            <v>S</v>
          </cell>
        </row>
        <row r="249">
          <cell r="A249">
            <v>361003</v>
          </cell>
          <cell r="B249" t="str">
            <v>Rotulaciones oficiales</v>
          </cell>
          <cell r="C249" t="str">
            <v>S</v>
          </cell>
        </row>
        <row r="250">
          <cell r="A250">
            <v>361004</v>
          </cell>
          <cell r="B250" t="str">
            <v>Publicación de convocatorias</v>
          </cell>
          <cell r="C250" t="str">
            <v>S</v>
          </cell>
        </row>
        <row r="251">
          <cell r="A251">
            <v>362000</v>
          </cell>
          <cell r="B251" t="str">
            <v>Difusión por radio, televisión y otros medios de mensajes comerciales para promover la venta de bienes o servicios</v>
          </cell>
          <cell r="C251" t="str">
            <v>N</v>
          </cell>
        </row>
        <row r="252">
          <cell r="A252">
            <v>362001</v>
          </cell>
          <cell r="B252" t="str">
            <v>Difusión por radio, televisión y otros medios de mensajes comerciales para promover la venta de bienes o servicios</v>
          </cell>
          <cell r="C252" t="str">
            <v>S</v>
          </cell>
        </row>
        <row r="253">
          <cell r="A253">
            <v>362002</v>
          </cell>
          <cell r="B253" t="str">
            <v>Difusión por radio, televisión y otros medios de mensajes comerciales para promover la venta de bienes o servicios, fuera del país</v>
          </cell>
          <cell r="C253" t="str">
            <v>S</v>
          </cell>
        </row>
        <row r="254">
          <cell r="A254">
            <v>363000</v>
          </cell>
          <cell r="B254" t="str">
            <v>Servicios de creatividad, preproducción y producción de publicidad, excepto Internet</v>
          </cell>
          <cell r="C254" t="str">
            <v>N</v>
          </cell>
        </row>
        <row r="255">
          <cell r="A255">
            <v>363001</v>
          </cell>
          <cell r="B255" t="str">
            <v>Servicios de Producción y Diseño Publicitario</v>
          </cell>
          <cell r="C255" t="str">
            <v>S</v>
          </cell>
        </row>
        <row r="256">
          <cell r="A256">
            <v>364000</v>
          </cell>
          <cell r="B256" t="str">
            <v>Servicios de revelado de fotografías</v>
          </cell>
          <cell r="C256" t="str">
            <v>N</v>
          </cell>
        </row>
        <row r="257">
          <cell r="A257">
            <v>364001</v>
          </cell>
          <cell r="B257" t="str">
            <v>Revelado de Fotografías</v>
          </cell>
          <cell r="C257" t="str">
            <v>S</v>
          </cell>
        </row>
        <row r="258">
          <cell r="A258">
            <v>365000</v>
          </cell>
          <cell r="B258" t="str">
            <v>Servicios de la industria fílmica, del sonido y del video</v>
          </cell>
          <cell r="C258" t="str">
            <v>N</v>
          </cell>
        </row>
        <row r="259">
          <cell r="A259">
            <v>365001</v>
          </cell>
          <cell r="B259" t="str">
            <v>Servicios de la industria fílmica, del sonido y del video</v>
          </cell>
          <cell r="C259" t="str">
            <v>S</v>
          </cell>
        </row>
        <row r="260">
          <cell r="A260">
            <v>366000</v>
          </cell>
          <cell r="B260" t="str">
            <v>Servicio de creación y difusión de contenido exclusivamente a través de Internet</v>
          </cell>
          <cell r="C260" t="str">
            <v>N</v>
          </cell>
        </row>
        <row r="261">
          <cell r="A261">
            <v>366001</v>
          </cell>
          <cell r="B261" t="str">
            <v>Gastos de difusión a través de internet</v>
          </cell>
          <cell r="C261" t="str">
            <v>S</v>
          </cell>
        </row>
        <row r="262">
          <cell r="A262">
            <v>369000</v>
          </cell>
          <cell r="B262" t="str">
            <v>Otros servicios de información</v>
          </cell>
          <cell r="C262" t="str">
            <v>N</v>
          </cell>
        </row>
        <row r="263">
          <cell r="A263">
            <v>369001</v>
          </cell>
          <cell r="B263" t="str">
            <v>Monitoreo de Información y Encuestas</v>
          </cell>
          <cell r="C263" t="str">
            <v>S</v>
          </cell>
        </row>
        <row r="264">
          <cell r="A264">
            <v>370000</v>
          </cell>
          <cell r="B264" t="str">
            <v>SERVICIOS DE TRASLADO Y VIÁTICOS</v>
          </cell>
          <cell r="C264" t="str">
            <v>N</v>
          </cell>
        </row>
        <row r="265">
          <cell r="A265">
            <v>371000</v>
          </cell>
          <cell r="B265" t="str">
            <v>Pasajes aéreos</v>
          </cell>
          <cell r="C265" t="str">
            <v>N</v>
          </cell>
        </row>
        <row r="266">
          <cell r="A266">
            <v>371001</v>
          </cell>
          <cell r="B266" t="str">
            <v>Pasajes aéreos</v>
          </cell>
          <cell r="C266" t="str">
            <v>S</v>
          </cell>
        </row>
        <row r="267">
          <cell r="A267">
            <v>372000</v>
          </cell>
          <cell r="B267" t="str">
            <v>Pasajes terrestres</v>
          </cell>
          <cell r="C267" t="str">
            <v>N</v>
          </cell>
        </row>
        <row r="268">
          <cell r="A268">
            <v>372001</v>
          </cell>
          <cell r="B268" t="str">
            <v>Pasajes terrestres</v>
          </cell>
          <cell r="C268" t="str">
            <v>S</v>
          </cell>
        </row>
        <row r="269">
          <cell r="A269">
            <v>373000</v>
          </cell>
          <cell r="B269" t="str">
            <v>Pasajes marítimos, lacustres y fluviales</v>
          </cell>
          <cell r="C269" t="str">
            <v>N</v>
          </cell>
        </row>
        <row r="270">
          <cell r="A270">
            <v>373001</v>
          </cell>
          <cell r="B270" t="str">
            <v>Pasajes marítimos</v>
          </cell>
          <cell r="C270" t="str">
            <v>S</v>
          </cell>
        </row>
        <row r="271">
          <cell r="A271">
            <v>374000</v>
          </cell>
          <cell r="B271" t="str">
            <v>Autotransporte</v>
          </cell>
          <cell r="C271" t="str">
            <v>N</v>
          </cell>
        </row>
        <row r="272">
          <cell r="A272">
            <v>374001</v>
          </cell>
          <cell r="B272" t="str">
            <v>Autotransporte</v>
          </cell>
          <cell r="C272" t="str">
            <v>S</v>
          </cell>
        </row>
        <row r="273">
          <cell r="A273">
            <v>375000</v>
          </cell>
          <cell r="B273" t="str">
            <v>Viáticos en el país</v>
          </cell>
          <cell r="C273" t="str">
            <v>N</v>
          </cell>
        </row>
        <row r="274">
          <cell r="A274">
            <v>375001</v>
          </cell>
          <cell r="B274" t="str">
            <v>Viáticos</v>
          </cell>
          <cell r="C274" t="str">
            <v>S</v>
          </cell>
        </row>
        <row r="275">
          <cell r="A275">
            <v>376000</v>
          </cell>
          <cell r="B275" t="str">
            <v>Viáticos en el extranjero</v>
          </cell>
          <cell r="C275" t="str">
            <v>N</v>
          </cell>
        </row>
        <row r="276">
          <cell r="A276">
            <v>376001</v>
          </cell>
          <cell r="B276" t="str">
            <v>Viáticos en el extranjero</v>
          </cell>
          <cell r="C276" t="str">
            <v>S</v>
          </cell>
        </row>
        <row r="277">
          <cell r="A277">
            <v>377000</v>
          </cell>
          <cell r="B277" t="str">
            <v>Gastos de instalación y traslado de menaje</v>
          </cell>
          <cell r="C277" t="str">
            <v>N</v>
          </cell>
        </row>
        <row r="278">
          <cell r="A278">
            <v>377001</v>
          </cell>
          <cell r="B278" t="str">
            <v>Gastos de instalación y traslado de menaje</v>
          </cell>
          <cell r="C278" t="str">
            <v>S</v>
          </cell>
        </row>
        <row r="279">
          <cell r="A279">
            <v>378000</v>
          </cell>
          <cell r="B279" t="str">
            <v>Servicios integrales de traslado y viáticos</v>
          </cell>
          <cell r="C279" t="str">
            <v>N</v>
          </cell>
        </row>
        <row r="280">
          <cell r="A280">
            <v>378001</v>
          </cell>
          <cell r="B280" t="str">
            <v>Diligencias judiciales</v>
          </cell>
          <cell r="C280" t="str">
            <v>S</v>
          </cell>
        </row>
        <row r="281">
          <cell r="A281">
            <v>379000</v>
          </cell>
          <cell r="B281" t="str">
            <v>Otros servicios de traslado y hospedaje</v>
          </cell>
          <cell r="C281" t="str">
            <v>N</v>
          </cell>
        </row>
        <row r="282">
          <cell r="A282">
            <v>379001</v>
          </cell>
          <cell r="B282" t="str">
            <v>Traslado de vehículos</v>
          </cell>
          <cell r="C282" t="str">
            <v>S</v>
          </cell>
        </row>
        <row r="283">
          <cell r="A283">
            <v>379002</v>
          </cell>
          <cell r="B283" t="str">
            <v>Gastos de traslado de personas</v>
          </cell>
          <cell r="C283" t="str">
            <v>S</v>
          </cell>
        </row>
        <row r="284">
          <cell r="A284">
            <v>379003</v>
          </cell>
          <cell r="B284" t="str">
            <v>Hospedaje de personas</v>
          </cell>
          <cell r="C284" t="str">
            <v>S</v>
          </cell>
        </row>
        <row r="285">
          <cell r="A285">
            <v>380000</v>
          </cell>
          <cell r="B285" t="str">
            <v>SERVICIOS OFICIALES</v>
          </cell>
          <cell r="C285" t="str">
            <v>N</v>
          </cell>
        </row>
        <row r="286">
          <cell r="A286">
            <v>381000</v>
          </cell>
          <cell r="B286" t="str">
            <v>Gastos de ceremonial</v>
          </cell>
          <cell r="C286" t="str">
            <v>N</v>
          </cell>
        </row>
        <row r="287">
          <cell r="A287">
            <v>381001</v>
          </cell>
          <cell r="B287" t="str">
            <v>Atención a personalidades nacionales y extranjeras</v>
          </cell>
          <cell r="C287" t="str">
            <v>S</v>
          </cell>
        </row>
        <row r="288">
          <cell r="A288">
            <v>382000</v>
          </cell>
          <cell r="B288" t="str">
            <v>Gastos de orden social y cultural</v>
          </cell>
          <cell r="C288" t="str">
            <v>N</v>
          </cell>
        </row>
        <row r="289">
          <cell r="A289">
            <v>382001</v>
          </cell>
          <cell r="B289" t="str">
            <v>Espectáculos y actividades culturales</v>
          </cell>
          <cell r="C289" t="str">
            <v>S</v>
          </cell>
        </row>
        <row r="290">
          <cell r="A290">
            <v>382002</v>
          </cell>
          <cell r="B290" t="str">
            <v>Gastos de recepción, conmemorativos y de orden social</v>
          </cell>
          <cell r="C290" t="str">
            <v>S</v>
          </cell>
        </row>
        <row r="291">
          <cell r="A291">
            <v>382003</v>
          </cell>
          <cell r="B291" t="str">
            <v>Adaptaciones para eventos sociales y culturales</v>
          </cell>
          <cell r="C291" t="str">
            <v>S</v>
          </cell>
        </row>
        <row r="292">
          <cell r="A292">
            <v>382004</v>
          </cell>
          <cell r="B292" t="str">
            <v>Festividades y Eventos</v>
          </cell>
          <cell r="C292" t="str">
            <v>S</v>
          </cell>
        </row>
        <row r="293">
          <cell r="A293">
            <v>383000</v>
          </cell>
          <cell r="B293" t="str">
            <v>Congresos y convenciones</v>
          </cell>
          <cell r="C293" t="str">
            <v>N</v>
          </cell>
        </row>
        <row r="294">
          <cell r="A294">
            <v>383001</v>
          </cell>
          <cell r="B294" t="str">
            <v>Congresos y convenciones</v>
          </cell>
          <cell r="C294" t="str">
            <v>S</v>
          </cell>
        </row>
        <row r="295">
          <cell r="A295">
            <v>384000</v>
          </cell>
          <cell r="B295" t="str">
            <v>Exposiciones</v>
          </cell>
          <cell r="C295" t="str">
            <v>N</v>
          </cell>
        </row>
        <row r="296">
          <cell r="A296">
            <v>384001</v>
          </cell>
          <cell r="B296" t="str">
            <v>Exposiciones</v>
          </cell>
          <cell r="C296" t="str">
            <v>S</v>
          </cell>
        </row>
        <row r="297">
          <cell r="A297">
            <v>385000</v>
          </cell>
          <cell r="B297" t="str">
            <v>Gastos de representación</v>
          </cell>
          <cell r="C297" t="str">
            <v>N</v>
          </cell>
        </row>
        <row r="298">
          <cell r="A298">
            <v>385001</v>
          </cell>
          <cell r="B298" t="str">
            <v>Gastos de representación</v>
          </cell>
          <cell r="C298" t="str">
            <v>S</v>
          </cell>
        </row>
        <row r="299">
          <cell r="A299">
            <v>390000</v>
          </cell>
          <cell r="B299" t="str">
            <v>OTROS SERVICIOS GENERALES</v>
          </cell>
          <cell r="C299" t="str">
            <v>N</v>
          </cell>
        </row>
        <row r="300">
          <cell r="A300">
            <v>391000</v>
          </cell>
          <cell r="B300" t="str">
            <v>Servicios funerarios y de cementerios</v>
          </cell>
          <cell r="C300" t="str">
            <v>N</v>
          </cell>
        </row>
        <row r="301">
          <cell r="A301">
            <v>391001</v>
          </cell>
          <cell r="B301" t="str">
            <v>Servicios funerarios y de cementerios</v>
          </cell>
          <cell r="C301" t="str">
            <v>S</v>
          </cell>
        </row>
        <row r="302">
          <cell r="A302">
            <v>392000</v>
          </cell>
          <cell r="B302" t="str">
            <v>Impuestos y derechos</v>
          </cell>
          <cell r="C302" t="str">
            <v>N</v>
          </cell>
        </row>
        <row r="303">
          <cell r="A303">
            <v>392001</v>
          </cell>
          <cell r="B303" t="str">
            <v>Impuestos y derechos</v>
          </cell>
          <cell r="C303" t="str">
            <v>S</v>
          </cell>
        </row>
        <row r="304">
          <cell r="A304">
            <v>393000</v>
          </cell>
          <cell r="B304" t="str">
            <v>Impuestos y derechos de importación</v>
          </cell>
          <cell r="C304" t="str">
            <v>N</v>
          </cell>
        </row>
        <row r="305">
          <cell r="A305">
            <v>393001</v>
          </cell>
          <cell r="B305" t="str">
            <v>Impuestos y derechos de importación</v>
          </cell>
          <cell r="C305" t="str">
            <v>S</v>
          </cell>
        </row>
        <row r="306">
          <cell r="A306">
            <v>394000</v>
          </cell>
          <cell r="B306" t="str">
            <v>Sentencias y resoluciones judiciales</v>
          </cell>
          <cell r="C306" t="str">
            <v>N</v>
          </cell>
        </row>
        <row r="307">
          <cell r="A307">
            <v>394001</v>
          </cell>
          <cell r="B307" t="str">
            <v>Sentencias y resoluciones judiciales</v>
          </cell>
          <cell r="C307" t="str">
            <v>S</v>
          </cell>
        </row>
        <row r="308">
          <cell r="A308">
            <v>395000</v>
          </cell>
          <cell r="B308" t="str">
            <v>Penas, multas, accesorios y actualizaciones</v>
          </cell>
          <cell r="C308" t="str">
            <v>N</v>
          </cell>
        </row>
        <row r="309">
          <cell r="A309">
            <v>395001</v>
          </cell>
          <cell r="B309" t="str">
            <v>Penas, multas, accesorios y actualizaciones</v>
          </cell>
          <cell r="C309" t="str">
            <v>S</v>
          </cell>
        </row>
        <row r="310">
          <cell r="A310">
            <v>396000</v>
          </cell>
          <cell r="B310" t="str">
            <v>Otros gastos por responsabilidades</v>
          </cell>
          <cell r="C310" t="str">
            <v>N</v>
          </cell>
        </row>
        <row r="311">
          <cell r="A311">
            <v>396001</v>
          </cell>
          <cell r="B311" t="str">
            <v>Otros gastos por responsabilidades</v>
          </cell>
          <cell r="C311" t="str">
            <v>S</v>
          </cell>
        </row>
        <row r="312">
          <cell r="A312">
            <v>399000</v>
          </cell>
          <cell r="B312" t="str">
            <v>Otros servicios generales</v>
          </cell>
          <cell r="C312" t="str">
            <v>N</v>
          </cell>
        </row>
        <row r="313">
          <cell r="A313">
            <v>399001</v>
          </cell>
          <cell r="B313" t="str">
            <v>Gastos menores</v>
          </cell>
          <cell r="C313" t="str">
            <v>S</v>
          </cell>
        </row>
        <row r="314">
          <cell r="A314">
            <v>399002</v>
          </cell>
          <cell r="B314" t="str">
            <v>Retribuciones a reos</v>
          </cell>
          <cell r="C314" t="str">
            <v>S</v>
          </cell>
        </row>
        <row r="315">
          <cell r="A315">
            <v>399003</v>
          </cell>
          <cell r="B315" t="str">
            <v>Otros servicios de la administración pública</v>
          </cell>
          <cell r="C315" t="str">
            <v>S</v>
          </cell>
        </row>
        <row r="316">
          <cell r="A316">
            <v>399004</v>
          </cell>
          <cell r="B316" t="str">
            <v>Previsión Arrendamientos</v>
          </cell>
          <cell r="C316" t="str">
            <v>Prev</v>
          </cell>
        </row>
        <row r="317">
          <cell r="A317">
            <v>500000</v>
          </cell>
          <cell r="B317" t="str">
            <v>BIENES MUEBLES, INMUEBLES E INTANGIBLES</v>
          </cell>
          <cell r="C317" t="str">
            <v>N</v>
          </cell>
        </row>
        <row r="318">
          <cell r="A318">
            <v>510000</v>
          </cell>
          <cell r="B318" t="str">
            <v>MOBILIARIO Y EQUIPO DE ADMINISTRACIÓN</v>
          </cell>
          <cell r="C318" t="str">
            <v>N</v>
          </cell>
        </row>
        <row r="319">
          <cell r="A319">
            <v>511000</v>
          </cell>
          <cell r="B319" t="str">
            <v>Muebles de oficina y estantería</v>
          </cell>
          <cell r="C319" t="str">
            <v>N</v>
          </cell>
        </row>
        <row r="320">
          <cell r="A320">
            <v>511001</v>
          </cell>
          <cell r="B320" t="str">
            <v>Mobiliario</v>
          </cell>
          <cell r="C320" t="str">
            <v>S</v>
          </cell>
        </row>
        <row r="321">
          <cell r="A321">
            <v>512000</v>
          </cell>
          <cell r="B321" t="str">
            <v>Muebles, excepto de oficina y estantería</v>
          </cell>
          <cell r="C321" t="str">
            <v>N</v>
          </cell>
        </row>
        <row r="322">
          <cell r="A322">
            <v>512001</v>
          </cell>
          <cell r="B322" t="str">
            <v>Muebles, excepto de oficina y estantería</v>
          </cell>
          <cell r="C322" t="str">
            <v>S</v>
          </cell>
        </row>
        <row r="323">
          <cell r="A323">
            <v>513000</v>
          </cell>
          <cell r="B323" t="str">
            <v>Bienes artísticos, culturales y científicos</v>
          </cell>
          <cell r="C323" t="str">
            <v>N</v>
          </cell>
        </row>
        <row r="324">
          <cell r="A324">
            <v>513001</v>
          </cell>
          <cell r="B324" t="str">
            <v>Bienes artísticos y culturales</v>
          </cell>
          <cell r="C324" t="str">
            <v>S</v>
          </cell>
        </row>
        <row r="325">
          <cell r="A325">
            <v>514000</v>
          </cell>
          <cell r="B325" t="str">
            <v>Objetos de valor</v>
          </cell>
          <cell r="C325" t="str">
            <v>N</v>
          </cell>
        </row>
        <row r="326">
          <cell r="A326">
            <v>514001</v>
          </cell>
          <cell r="B326" t="str">
            <v>Objetos de valor</v>
          </cell>
          <cell r="C326" t="str">
            <v>S</v>
          </cell>
        </row>
        <row r="327">
          <cell r="A327">
            <v>515000</v>
          </cell>
          <cell r="B327" t="str">
            <v>Equipo de cómputo y de tecnologías de la información</v>
          </cell>
          <cell r="C327" t="str">
            <v>N</v>
          </cell>
        </row>
        <row r="328">
          <cell r="A328">
            <v>515001</v>
          </cell>
          <cell r="B328" t="str">
            <v>Equipo de administración</v>
          </cell>
          <cell r="C328" t="str">
            <v>S</v>
          </cell>
        </row>
        <row r="329">
          <cell r="A329">
            <v>515002</v>
          </cell>
          <cell r="B329" t="str">
            <v>Equipo de Cómputo y Aparatos de Uso Informático</v>
          </cell>
          <cell r="C329" t="str">
            <v>S</v>
          </cell>
        </row>
        <row r="330">
          <cell r="A330">
            <v>515003</v>
          </cell>
          <cell r="B330" t="str">
            <v>Sistemas de Rastreo Satelital (GPS)</v>
          </cell>
          <cell r="C330" t="str">
            <v>S</v>
          </cell>
        </row>
        <row r="331">
          <cell r="A331">
            <v>519000</v>
          </cell>
          <cell r="B331" t="str">
            <v>Otros mobiliarios y equipos de administración</v>
          </cell>
          <cell r="C331" t="str">
            <v>N</v>
          </cell>
        </row>
        <row r="332">
          <cell r="A332">
            <v>519001</v>
          </cell>
          <cell r="B332" t="str">
            <v>Cámaras y Circuitos Cerrados de Seguridad</v>
          </cell>
          <cell r="C332" t="str">
            <v>S</v>
          </cell>
        </row>
        <row r="333">
          <cell r="A333">
            <v>519002</v>
          </cell>
          <cell r="B333" t="str">
            <v>Equipos de Audio</v>
          </cell>
          <cell r="C333" t="str">
            <v>S</v>
          </cell>
        </row>
        <row r="334">
          <cell r="A334">
            <v>519003</v>
          </cell>
          <cell r="B334" t="str">
            <v>Otras Herramientas, Mobiliarios y Eq. De Administración</v>
          </cell>
          <cell r="C334" t="str">
            <v>S</v>
          </cell>
        </row>
        <row r="335">
          <cell r="A335">
            <v>519004</v>
          </cell>
          <cell r="B335" t="str">
            <v>Aulas Móviles de Vigilancia</v>
          </cell>
          <cell r="C335" t="str">
            <v>S</v>
          </cell>
        </row>
        <row r="336">
          <cell r="A336">
            <v>520000</v>
          </cell>
          <cell r="B336" t="str">
            <v>MOBILIARIO Y EQUIPO EDUCACIONAL Y RECREATIVO</v>
          </cell>
          <cell r="C336" t="str">
            <v>N</v>
          </cell>
        </row>
        <row r="337">
          <cell r="A337">
            <v>521000</v>
          </cell>
          <cell r="B337" t="str">
            <v>Equipos y aparatos audiovisuales</v>
          </cell>
          <cell r="C337" t="str">
            <v>N</v>
          </cell>
        </row>
        <row r="338">
          <cell r="A338">
            <v>521001</v>
          </cell>
          <cell r="B338" t="str">
            <v>Equipo educacional y recreativo</v>
          </cell>
          <cell r="C338" t="str">
            <v>S</v>
          </cell>
        </row>
        <row r="339">
          <cell r="A339">
            <v>522000</v>
          </cell>
          <cell r="B339" t="str">
            <v>Aparatos deportivos</v>
          </cell>
          <cell r="C339" t="str">
            <v>N</v>
          </cell>
        </row>
        <row r="340">
          <cell r="A340">
            <v>522001</v>
          </cell>
          <cell r="B340" t="str">
            <v>Aparatos deportivos</v>
          </cell>
          <cell r="C340" t="str">
            <v>S</v>
          </cell>
        </row>
        <row r="341">
          <cell r="A341">
            <v>523000</v>
          </cell>
          <cell r="B341" t="str">
            <v>Cámaras fotográficas y de video</v>
          </cell>
          <cell r="C341" t="str">
            <v>N</v>
          </cell>
        </row>
        <row r="342">
          <cell r="A342">
            <v>523001</v>
          </cell>
          <cell r="B342" t="str">
            <v>Cámaras Fotográficas</v>
          </cell>
          <cell r="C342" t="str">
            <v>S</v>
          </cell>
        </row>
        <row r="343">
          <cell r="A343">
            <v>523002</v>
          </cell>
          <cell r="B343" t="str">
            <v>Cámaras de Video</v>
          </cell>
          <cell r="C343" t="str">
            <v>S</v>
          </cell>
        </row>
        <row r="344">
          <cell r="A344">
            <v>529000</v>
          </cell>
          <cell r="B344" t="str">
            <v>Otro mobiliario y equipo educacional y recreativo</v>
          </cell>
          <cell r="C344" t="str">
            <v>N</v>
          </cell>
        </row>
        <row r="345">
          <cell r="A345">
            <v>529001</v>
          </cell>
          <cell r="B345" t="str">
            <v>Instrumentos Musicales</v>
          </cell>
          <cell r="C345" t="str">
            <v>S</v>
          </cell>
        </row>
        <row r="346">
          <cell r="A346">
            <v>529002</v>
          </cell>
          <cell r="B346" t="str">
            <v>Equipo Educacional</v>
          </cell>
          <cell r="C346" t="str">
            <v>S</v>
          </cell>
        </row>
        <row r="347">
          <cell r="A347">
            <v>530000</v>
          </cell>
          <cell r="B347" t="str">
            <v>EQUIPO E INSTRUMENTAL MÉDICO Y DE LABORATORIO</v>
          </cell>
          <cell r="C347" t="str">
            <v>N</v>
          </cell>
        </row>
        <row r="348">
          <cell r="A348">
            <v>531000</v>
          </cell>
          <cell r="B348" t="str">
            <v>Equipo médico y de laboratorio</v>
          </cell>
          <cell r="C348" t="str">
            <v>N</v>
          </cell>
        </row>
        <row r="349">
          <cell r="A349">
            <v>531001</v>
          </cell>
          <cell r="B349" t="str">
            <v>Equipo e instrumental medico</v>
          </cell>
          <cell r="C349" t="str">
            <v>S</v>
          </cell>
        </row>
        <row r="350">
          <cell r="A350">
            <v>532000</v>
          </cell>
          <cell r="B350" t="str">
            <v>Instrumental médico y de laboratorio</v>
          </cell>
          <cell r="C350" t="str">
            <v>N</v>
          </cell>
        </row>
        <row r="351">
          <cell r="A351">
            <v>532001</v>
          </cell>
          <cell r="B351" t="str">
            <v>Instrumental médico y de laboratorio</v>
          </cell>
          <cell r="C351" t="str">
            <v>S</v>
          </cell>
        </row>
        <row r="352">
          <cell r="A352">
            <v>540000</v>
          </cell>
          <cell r="B352" t="str">
            <v>VEHÍCULOS Y EQUIPO DE TRANSPORTE</v>
          </cell>
          <cell r="C352" t="str">
            <v>N</v>
          </cell>
        </row>
        <row r="353">
          <cell r="A353">
            <v>541000</v>
          </cell>
          <cell r="B353" t="str">
            <v>Automóviles y camiones</v>
          </cell>
          <cell r="C353" t="str">
            <v>N</v>
          </cell>
        </row>
        <row r="354">
          <cell r="A354">
            <v>541001</v>
          </cell>
          <cell r="B354" t="str">
            <v>Vehículos y equipo terrestre</v>
          </cell>
          <cell r="C354" t="str">
            <v>S</v>
          </cell>
        </row>
        <row r="355">
          <cell r="A355">
            <v>542000</v>
          </cell>
          <cell r="B355" t="str">
            <v>Carrocerías y remolques</v>
          </cell>
          <cell r="C355" t="str">
            <v>N</v>
          </cell>
        </row>
        <row r="356">
          <cell r="A356">
            <v>542001</v>
          </cell>
          <cell r="B356" t="str">
            <v>Carrocerías y remolques</v>
          </cell>
          <cell r="C356" t="str">
            <v>S</v>
          </cell>
        </row>
        <row r="357">
          <cell r="A357">
            <v>543000</v>
          </cell>
          <cell r="B357" t="str">
            <v>Equipo aeroespacial</v>
          </cell>
          <cell r="C357" t="str">
            <v>N</v>
          </cell>
        </row>
        <row r="358">
          <cell r="A358">
            <v>543001</v>
          </cell>
          <cell r="B358" t="str">
            <v>Vehículos y equipo de transporte aéreo</v>
          </cell>
          <cell r="C358" t="str">
            <v>S</v>
          </cell>
        </row>
        <row r="359">
          <cell r="A359">
            <v>544000</v>
          </cell>
          <cell r="B359" t="str">
            <v>Equipo ferroviario</v>
          </cell>
          <cell r="C359" t="str">
            <v>N</v>
          </cell>
        </row>
        <row r="360">
          <cell r="A360">
            <v>544001</v>
          </cell>
          <cell r="B360" t="str">
            <v>Equipo ferroviario</v>
          </cell>
          <cell r="C360" t="str">
            <v>S</v>
          </cell>
        </row>
        <row r="361">
          <cell r="A361">
            <v>545000</v>
          </cell>
          <cell r="B361" t="str">
            <v>Embarcaciones</v>
          </cell>
          <cell r="C361" t="str">
            <v>N</v>
          </cell>
        </row>
        <row r="362">
          <cell r="A362">
            <v>545001</v>
          </cell>
          <cell r="B362" t="str">
            <v>Vehículos y equipo marino</v>
          </cell>
          <cell r="C362" t="str">
            <v>S</v>
          </cell>
        </row>
        <row r="363">
          <cell r="A363">
            <v>549000</v>
          </cell>
          <cell r="B363" t="str">
            <v>Otros Equipos de Transporte</v>
          </cell>
          <cell r="C363" t="str">
            <v>N</v>
          </cell>
        </row>
        <row r="364">
          <cell r="A364">
            <v>549001</v>
          </cell>
          <cell r="B364" t="str">
            <v>Otros equipos de transporte</v>
          </cell>
          <cell r="C364" t="str">
            <v>S</v>
          </cell>
        </row>
        <row r="365">
          <cell r="A365">
            <v>550000</v>
          </cell>
          <cell r="B365" t="str">
            <v>EQUIPO DE DEFENSA Y SEGURIDAD</v>
          </cell>
          <cell r="C365" t="str">
            <v>N</v>
          </cell>
        </row>
        <row r="366">
          <cell r="A366">
            <v>551000</v>
          </cell>
          <cell r="B366" t="str">
            <v>Equipo de defensa y seguridad</v>
          </cell>
          <cell r="C366" t="str">
            <v>N</v>
          </cell>
        </row>
        <row r="367">
          <cell r="A367">
            <v>551001</v>
          </cell>
          <cell r="B367" t="str">
            <v>Equipo de defensa y seguridad pública</v>
          </cell>
          <cell r="C367" t="str">
            <v>S</v>
          </cell>
        </row>
        <row r="368">
          <cell r="A368">
            <v>560000</v>
          </cell>
          <cell r="B368" t="str">
            <v>MAQUINARIA, OTROS EQUIPOS Y HERRAMIENTAS</v>
          </cell>
          <cell r="C368" t="str">
            <v>N</v>
          </cell>
        </row>
        <row r="369">
          <cell r="A369">
            <v>561000</v>
          </cell>
          <cell r="B369" t="str">
            <v>Maquinaria y equipo agropecuario</v>
          </cell>
          <cell r="C369" t="str">
            <v>N</v>
          </cell>
        </row>
        <row r="370">
          <cell r="A370">
            <v>561001</v>
          </cell>
          <cell r="B370" t="str">
            <v>Maquinaria y equipo agropecuario, industrial y de construcción</v>
          </cell>
          <cell r="C370" t="str">
            <v>S</v>
          </cell>
        </row>
        <row r="371">
          <cell r="A371">
            <v>562000</v>
          </cell>
          <cell r="B371" t="str">
            <v>Maquinaria y equipo industrial</v>
          </cell>
          <cell r="C371" t="str">
            <v>N</v>
          </cell>
        </row>
        <row r="372">
          <cell r="A372">
            <v>562001</v>
          </cell>
          <cell r="B372" t="str">
            <v>Bombas Industriales</v>
          </cell>
          <cell r="C372" t="str">
            <v>S</v>
          </cell>
        </row>
        <row r="373">
          <cell r="A373">
            <v>563000</v>
          </cell>
          <cell r="B373" t="str">
            <v>Maquinaria y equipo de construcción</v>
          </cell>
          <cell r="C373" t="str">
            <v>N</v>
          </cell>
        </row>
        <row r="374">
          <cell r="A374">
            <v>563001</v>
          </cell>
          <cell r="B374" t="str">
            <v>Maquinaria y equipo de construcción</v>
          </cell>
          <cell r="C374" t="str">
            <v>S</v>
          </cell>
        </row>
        <row r="375">
          <cell r="A375">
            <v>564000</v>
          </cell>
          <cell r="B375" t="str">
            <v>Sistemas de aire acondicionado, calefacción y de refrigeración industrial y comercial</v>
          </cell>
          <cell r="C375" t="str">
            <v>N</v>
          </cell>
        </row>
        <row r="376">
          <cell r="A376">
            <v>564001</v>
          </cell>
          <cell r="B376" t="str">
            <v>Sistemas de aire acondicionado, calefacción y de refrigeración industrial y comercial</v>
          </cell>
          <cell r="C376" t="str">
            <v>S</v>
          </cell>
        </row>
        <row r="377">
          <cell r="A377">
            <v>565000</v>
          </cell>
          <cell r="B377" t="str">
            <v>Equipo de comunicación y telecomunicación</v>
          </cell>
          <cell r="C377" t="str">
            <v>N</v>
          </cell>
        </row>
        <row r="378">
          <cell r="A378">
            <v>565001</v>
          </cell>
          <cell r="B378" t="str">
            <v>Maq. y equipo de telecomunicaciones, eléctrica y electrónica</v>
          </cell>
          <cell r="C378" t="str">
            <v>S</v>
          </cell>
        </row>
        <row r="379">
          <cell r="A379">
            <v>566000</v>
          </cell>
          <cell r="B379" t="str">
            <v>Equipos de generación eléctrica, aparatos y accesorios eléctricos</v>
          </cell>
          <cell r="C379" t="str">
            <v>N</v>
          </cell>
        </row>
        <row r="380">
          <cell r="A380">
            <v>566001</v>
          </cell>
          <cell r="B380" t="str">
            <v>Equipos de generación eléctrica</v>
          </cell>
          <cell r="C380" t="str">
            <v>S</v>
          </cell>
        </row>
        <row r="381">
          <cell r="A381">
            <v>566002</v>
          </cell>
          <cell r="B381" t="str">
            <v>Aparatos y Accesorios eléctricos</v>
          </cell>
          <cell r="C381" t="str">
            <v>S</v>
          </cell>
        </row>
        <row r="382">
          <cell r="A382">
            <v>567000</v>
          </cell>
          <cell r="B382" t="str">
            <v>Herramientas y máquinas-herramienta</v>
          </cell>
          <cell r="C382" t="str">
            <v>N</v>
          </cell>
        </row>
        <row r="383">
          <cell r="A383">
            <v>567001</v>
          </cell>
          <cell r="B383" t="str">
            <v>Herramientas y refacciones mayores</v>
          </cell>
          <cell r="C383" t="str">
            <v>S</v>
          </cell>
        </row>
        <row r="384">
          <cell r="A384">
            <v>569000</v>
          </cell>
          <cell r="B384" t="str">
            <v>Otros equipos</v>
          </cell>
          <cell r="C384" t="str">
            <v>N</v>
          </cell>
        </row>
        <row r="385">
          <cell r="A385">
            <v>569001</v>
          </cell>
          <cell r="B385" t="str">
            <v>Maquinaria y equipo diverso</v>
          </cell>
          <cell r="C385" t="str">
            <v>S</v>
          </cell>
        </row>
        <row r="386">
          <cell r="A386">
            <v>570000</v>
          </cell>
          <cell r="B386" t="str">
            <v>ACTIVOS BIOLÓGICOS</v>
          </cell>
          <cell r="C386" t="str">
            <v>N</v>
          </cell>
        </row>
        <row r="387">
          <cell r="A387">
            <v>571000</v>
          </cell>
          <cell r="B387" t="str">
            <v>Bovinos</v>
          </cell>
          <cell r="C387" t="str">
            <v>N</v>
          </cell>
        </row>
        <row r="388">
          <cell r="A388">
            <v>571001</v>
          </cell>
          <cell r="B388" t="str">
            <v>Bovinos</v>
          </cell>
          <cell r="C388" t="str">
            <v>S</v>
          </cell>
        </row>
        <row r="389">
          <cell r="A389">
            <v>572000</v>
          </cell>
          <cell r="B389" t="str">
            <v>Porcinos</v>
          </cell>
          <cell r="C389" t="str">
            <v>N</v>
          </cell>
        </row>
        <row r="390">
          <cell r="A390">
            <v>572001</v>
          </cell>
          <cell r="B390" t="str">
            <v>Porcinos</v>
          </cell>
          <cell r="C390" t="str">
            <v>S</v>
          </cell>
        </row>
        <row r="391">
          <cell r="A391">
            <v>573000</v>
          </cell>
          <cell r="B391" t="str">
            <v>Aves</v>
          </cell>
          <cell r="C391" t="str">
            <v>N</v>
          </cell>
        </row>
        <row r="392">
          <cell r="A392">
            <v>573001</v>
          </cell>
          <cell r="B392" t="str">
            <v>Aves</v>
          </cell>
          <cell r="C392" t="str">
            <v>S</v>
          </cell>
        </row>
        <row r="393">
          <cell r="A393">
            <v>574000</v>
          </cell>
          <cell r="B393" t="str">
            <v>Ovinos y caprinos</v>
          </cell>
          <cell r="C393" t="str">
            <v>N</v>
          </cell>
        </row>
        <row r="394">
          <cell r="A394">
            <v>574001</v>
          </cell>
          <cell r="B394" t="str">
            <v>Ovinos y caprinos</v>
          </cell>
          <cell r="C394" t="str">
            <v>S</v>
          </cell>
        </row>
        <row r="395">
          <cell r="A395">
            <v>575000</v>
          </cell>
          <cell r="B395" t="str">
            <v>Peces y acuicultura</v>
          </cell>
          <cell r="C395" t="str">
            <v>N</v>
          </cell>
        </row>
        <row r="396">
          <cell r="A396">
            <v>575001</v>
          </cell>
          <cell r="B396" t="str">
            <v>Peces y acuicultura</v>
          </cell>
          <cell r="C396" t="str">
            <v>S</v>
          </cell>
        </row>
        <row r="397">
          <cell r="A397">
            <v>576000</v>
          </cell>
          <cell r="B397" t="str">
            <v>Equinos</v>
          </cell>
          <cell r="C397" t="str">
            <v>N</v>
          </cell>
        </row>
        <row r="398">
          <cell r="A398">
            <v>576001</v>
          </cell>
          <cell r="B398" t="str">
            <v>Equinos</v>
          </cell>
          <cell r="C398" t="str">
            <v>S</v>
          </cell>
        </row>
        <row r="399">
          <cell r="A399">
            <v>577000</v>
          </cell>
          <cell r="B399" t="str">
            <v>Especies menores y de zoológico</v>
          </cell>
          <cell r="C399" t="str">
            <v>N</v>
          </cell>
        </row>
        <row r="400">
          <cell r="A400">
            <v>577001</v>
          </cell>
          <cell r="B400" t="str">
            <v>Especies menores y de zoológico</v>
          </cell>
          <cell r="C400" t="str">
            <v>S</v>
          </cell>
        </row>
        <row r="401">
          <cell r="A401">
            <v>578000</v>
          </cell>
          <cell r="B401" t="str">
            <v>Árboles y plantas</v>
          </cell>
          <cell r="C401" t="str">
            <v>N</v>
          </cell>
        </row>
        <row r="402">
          <cell r="A402">
            <v>578001</v>
          </cell>
          <cell r="B402" t="str">
            <v>Árboles y plantas</v>
          </cell>
          <cell r="C402" t="str">
            <v>S</v>
          </cell>
        </row>
        <row r="403">
          <cell r="A403">
            <v>579000</v>
          </cell>
          <cell r="B403" t="str">
            <v>Otros activos biológicos</v>
          </cell>
          <cell r="C403" t="str">
            <v>N</v>
          </cell>
        </row>
        <row r="404">
          <cell r="A404">
            <v>579001</v>
          </cell>
          <cell r="B404" t="str">
            <v>Otros activos biológicos</v>
          </cell>
          <cell r="C404" t="str">
            <v>S</v>
          </cell>
        </row>
        <row r="405">
          <cell r="A405">
            <v>580000</v>
          </cell>
          <cell r="B405" t="str">
            <v>BIENES INMUEBLES</v>
          </cell>
          <cell r="C405" t="str">
            <v>N</v>
          </cell>
        </row>
        <row r="406">
          <cell r="A406">
            <v>581000</v>
          </cell>
          <cell r="B406" t="str">
            <v>Terrenos</v>
          </cell>
          <cell r="C406" t="str">
            <v>N</v>
          </cell>
        </row>
        <row r="407">
          <cell r="A407">
            <v>581001</v>
          </cell>
          <cell r="B407" t="str">
            <v>Terrenos</v>
          </cell>
          <cell r="C407" t="str">
            <v>S</v>
          </cell>
        </row>
        <row r="408">
          <cell r="A408">
            <v>582000</v>
          </cell>
          <cell r="B408" t="str">
            <v>Viviendas</v>
          </cell>
          <cell r="C408" t="str">
            <v>N</v>
          </cell>
        </row>
        <row r="409">
          <cell r="A409">
            <v>582001</v>
          </cell>
          <cell r="B409" t="str">
            <v>Viviendas</v>
          </cell>
          <cell r="C409" t="str">
            <v>S</v>
          </cell>
        </row>
        <row r="410">
          <cell r="A410">
            <v>583000</v>
          </cell>
          <cell r="B410" t="str">
            <v>Edificios no residenciales</v>
          </cell>
          <cell r="C410" t="str">
            <v>N</v>
          </cell>
        </row>
        <row r="411">
          <cell r="A411">
            <v>583001</v>
          </cell>
          <cell r="B411" t="str">
            <v>Edificios y locales</v>
          </cell>
          <cell r="C411" t="str">
            <v>S</v>
          </cell>
        </row>
        <row r="412">
          <cell r="A412">
            <v>589000</v>
          </cell>
          <cell r="B412" t="str">
            <v>Otros bienes inmuebles</v>
          </cell>
          <cell r="C412" t="str">
            <v>N</v>
          </cell>
        </row>
        <row r="413">
          <cell r="A413">
            <v>589001</v>
          </cell>
          <cell r="B413" t="str">
            <v>Adjudicaciones, expropiaciones e indemnizaciones de inmuebles</v>
          </cell>
          <cell r="C413" t="str">
            <v>S</v>
          </cell>
        </row>
        <row r="414">
          <cell r="A414">
            <v>590000</v>
          </cell>
          <cell r="B414" t="str">
            <v>ACTIVOS INTANGIBLES</v>
          </cell>
          <cell r="C414" t="str">
            <v>N</v>
          </cell>
        </row>
        <row r="415">
          <cell r="A415">
            <v>591000</v>
          </cell>
          <cell r="B415" t="str">
            <v>Software</v>
          </cell>
          <cell r="C415" t="str">
            <v>N</v>
          </cell>
        </row>
        <row r="416">
          <cell r="A416">
            <v>591001</v>
          </cell>
          <cell r="B416" t="str">
            <v>Software</v>
          </cell>
          <cell r="C416" t="str">
            <v>S</v>
          </cell>
        </row>
        <row r="417">
          <cell r="A417">
            <v>592000</v>
          </cell>
          <cell r="B417" t="str">
            <v>Patentes</v>
          </cell>
          <cell r="C417" t="str">
            <v>N</v>
          </cell>
        </row>
        <row r="418">
          <cell r="A418">
            <v>592001</v>
          </cell>
          <cell r="B418" t="str">
            <v>Patentes</v>
          </cell>
          <cell r="C418" t="str">
            <v>S</v>
          </cell>
        </row>
        <row r="419">
          <cell r="A419">
            <v>593000</v>
          </cell>
          <cell r="B419" t="str">
            <v>Marcas</v>
          </cell>
          <cell r="C419" t="str">
            <v>N</v>
          </cell>
        </row>
        <row r="420">
          <cell r="A420">
            <v>593001</v>
          </cell>
          <cell r="B420" t="str">
            <v>Marcas</v>
          </cell>
          <cell r="C420" t="str">
            <v>S</v>
          </cell>
        </row>
        <row r="421">
          <cell r="A421">
            <v>594000</v>
          </cell>
          <cell r="B421" t="str">
            <v>Derechos</v>
          </cell>
          <cell r="C421" t="str">
            <v>N</v>
          </cell>
        </row>
        <row r="422">
          <cell r="A422">
            <v>594001</v>
          </cell>
          <cell r="B422" t="str">
            <v>Derechos</v>
          </cell>
          <cell r="C422" t="str">
            <v>S</v>
          </cell>
        </row>
        <row r="423">
          <cell r="A423">
            <v>595000</v>
          </cell>
          <cell r="B423" t="str">
            <v>Concesiones</v>
          </cell>
          <cell r="C423" t="str">
            <v>N</v>
          </cell>
        </row>
        <row r="424">
          <cell r="A424">
            <v>595001</v>
          </cell>
          <cell r="B424" t="str">
            <v>Concesiones</v>
          </cell>
          <cell r="C424" t="str">
            <v>S</v>
          </cell>
        </row>
        <row r="425">
          <cell r="A425">
            <v>596000</v>
          </cell>
          <cell r="B425" t="str">
            <v>Franquicias</v>
          </cell>
          <cell r="C425" t="str">
            <v>N</v>
          </cell>
        </row>
        <row r="426">
          <cell r="A426">
            <v>596001</v>
          </cell>
          <cell r="B426" t="str">
            <v>Franquicias</v>
          </cell>
          <cell r="C426" t="str">
            <v>S</v>
          </cell>
        </row>
        <row r="427">
          <cell r="A427">
            <v>597000</v>
          </cell>
          <cell r="B427" t="str">
            <v>Licencias informáticas e intelectuales</v>
          </cell>
          <cell r="C427" t="str">
            <v>N</v>
          </cell>
        </row>
        <row r="428">
          <cell r="A428">
            <v>597001</v>
          </cell>
          <cell r="B428" t="str">
            <v>Licencias para programas de antivirus</v>
          </cell>
          <cell r="C428" t="str">
            <v>S</v>
          </cell>
        </row>
        <row r="429">
          <cell r="A429">
            <v>597002</v>
          </cell>
          <cell r="B429" t="str">
            <v>Licencias Microsoft Windows server 2003 edición estándar</v>
          </cell>
          <cell r="C429" t="str">
            <v>S</v>
          </cell>
        </row>
        <row r="430">
          <cell r="A430">
            <v>598000</v>
          </cell>
          <cell r="B430" t="str">
            <v>Licencias industriales, comerciales y otras</v>
          </cell>
          <cell r="C430" t="str">
            <v>N</v>
          </cell>
        </row>
        <row r="431">
          <cell r="A431">
            <v>598001</v>
          </cell>
          <cell r="B431" t="str">
            <v>Licencias industriales, comerciales y otras</v>
          </cell>
          <cell r="C431" t="str">
            <v>S</v>
          </cell>
        </row>
        <row r="432">
          <cell r="A432">
            <v>599000</v>
          </cell>
          <cell r="B432" t="str">
            <v>Otros activos intangibles</v>
          </cell>
          <cell r="C432" t="str">
            <v>N</v>
          </cell>
        </row>
        <row r="433">
          <cell r="A433">
            <v>599001</v>
          </cell>
          <cell r="B433" t="str">
            <v>Otros activos intangibles</v>
          </cell>
          <cell r="C433" t="str">
            <v>S</v>
          </cell>
        </row>
      </sheetData>
      <sheetData sheetId="6">
        <row r="1">
          <cell r="A1" t="str">
            <v>NOMENCLATURA</v>
          </cell>
          <cell r="B1" t="str">
            <v>DESCRPCION</v>
          </cell>
          <cell r="C1"/>
          <cell r="D1"/>
        </row>
        <row r="2">
          <cell r="A2">
            <v>100</v>
          </cell>
          <cell r="B2" t="str">
            <v>INGRESOS PROPIOS Y APROVECHAMIENTOS</v>
          </cell>
          <cell r="C2"/>
          <cell r="D2"/>
        </row>
        <row r="3">
          <cell r="A3">
            <v>101</v>
          </cell>
          <cell r="B3" t="str">
            <v>INGRESOS PROPIOS (IMPUESTOS, DERECHOS, PRODUCTOS Y APROVECHAMIENTOS)</v>
          </cell>
          <cell r="C3"/>
          <cell r="D3"/>
        </row>
        <row r="4">
          <cell r="A4">
            <v>102</v>
          </cell>
          <cell r="B4" t="str">
            <v>INGRESOS PROPIOS</v>
          </cell>
          <cell r="C4"/>
          <cell r="D4"/>
        </row>
        <row r="5">
          <cell r="A5">
            <v>103</v>
          </cell>
          <cell r="B5" t="str">
            <v>INGRESOS PROPIOS APORTACIONES MUNICIPALES</v>
          </cell>
          <cell r="C5"/>
          <cell r="D5"/>
        </row>
        <row r="6">
          <cell r="A6">
            <v>104</v>
          </cell>
          <cell r="B6" t="str">
            <v>APROVECHAMIENTO POR EL USO DE LA I NFRAESTRUCTURA ESTATAL</v>
          </cell>
          <cell r="C6"/>
          <cell r="D6"/>
        </row>
        <row r="7">
          <cell r="A7">
            <v>110</v>
          </cell>
          <cell r="B7" t="str">
            <v>RECURSO F.O.I.S.</v>
          </cell>
          <cell r="C7"/>
          <cell r="D7"/>
        </row>
        <row r="8">
          <cell r="A8">
            <v>111</v>
          </cell>
          <cell r="B8" t="str">
            <v>RECURSO A.P.I.</v>
          </cell>
          <cell r="C8"/>
          <cell r="D8"/>
        </row>
        <row r="9">
          <cell r="A9">
            <v>130</v>
          </cell>
          <cell r="B9" t="str">
            <v>Reintegro con Ingresos Propios Ramo 28</v>
          </cell>
          <cell r="C9"/>
          <cell r="D9"/>
        </row>
        <row r="10">
          <cell r="A10">
            <v>136</v>
          </cell>
          <cell r="B10" t="str">
            <v>Reintegro con Ingresos Propios FONE</v>
          </cell>
          <cell r="C10"/>
          <cell r="D10"/>
        </row>
        <row r="11">
          <cell r="A11">
            <v>137</v>
          </cell>
          <cell r="B11" t="str">
            <v>Reintegro con Ingresos Propios FASSA</v>
          </cell>
          <cell r="C11"/>
          <cell r="D11"/>
        </row>
        <row r="12">
          <cell r="A12">
            <v>138</v>
          </cell>
          <cell r="B12" t="str">
            <v>Reintegro con Ingresos Propios FAIS/FISE</v>
          </cell>
          <cell r="C12"/>
          <cell r="D12"/>
        </row>
        <row r="13">
          <cell r="A13">
            <v>139</v>
          </cell>
          <cell r="B13" t="str">
            <v>Reintegro con Ingresos Propios FAIS/FISM</v>
          </cell>
          <cell r="C13"/>
          <cell r="D13"/>
        </row>
        <row r="14">
          <cell r="A14">
            <v>140</v>
          </cell>
          <cell r="B14" t="str">
            <v>Reintegro con Ingresos Propios FORTAMUN</v>
          </cell>
          <cell r="C14"/>
          <cell r="D14"/>
        </row>
        <row r="15">
          <cell r="A15">
            <v>141</v>
          </cell>
          <cell r="B15" t="str">
            <v>Reintegro con Ingresos Propios FAM/Asistencia Social</v>
          </cell>
          <cell r="C15"/>
          <cell r="D15"/>
        </row>
        <row r="16">
          <cell r="A16">
            <v>142</v>
          </cell>
          <cell r="B16" t="str">
            <v>Reintegro con Ingresos Propios FAM/Infraest. Educación Básica</v>
          </cell>
          <cell r="C16"/>
          <cell r="D16"/>
        </row>
        <row r="17">
          <cell r="A17">
            <v>143</v>
          </cell>
          <cell r="B17" t="str">
            <v>Reintegro con Ingresos Propios FAM/ Infraest. Educación Media Superior y Superior</v>
          </cell>
          <cell r="C17"/>
          <cell r="D17"/>
        </row>
        <row r="18">
          <cell r="A18">
            <v>145</v>
          </cell>
          <cell r="B18" t="str">
            <v>Reintegro con Ingresos Propios FAETA/Educ. Tecnológica (CONALEP)</v>
          </cell>
          <cell r="C18"/>
          <cell r="D18"/>
        </row>
        <row r="19">
          <cell r="A19">
            <v>146</v>
          </cell>
          <cell r="B19" t="str">
            <v>Reintegro con Ingresos Propios FAETA Educ. Adultos (IEEA)</v>
          </cell>
          <cell r="C19"/>
          <cell r="D19"/>
        </row>
        <row r="20">
          <cell r="A20">
            <v>147</v>
          </cell>
          <cell r="B20" t="str">
            <v>Reintegro con Ingresos Propios FASP</v>
          </cell>
          <cell r="C20"/>
          <cell r="D20"/>
        </row>
        <row r="21">
          <cell r="A21">
            <v>148</v>
          </cell>
          <cell r="B21" t="str">
            <v>Reintegro con Ingresos Propios FAFEF</v>
          </cell>
          <cell r="C21"/>
          <cell r="D21"/>
        </row>
        <row r="22">
          <cell r="A22">
            <v>149</v>
          </cell>
          <cell r="B22" t="str">
            <v>Reintegro con Ingresos Propios SEDATU</v>
          </cell>
          <cell r="C22"/>
          <cell r="D22"/>
        </row>
        <row r="23">
          <cell r="A23">
            <v>161</v>
          </cell>
          <cell r="B23" t="str">
            <v>Reintegro con Ingresos Propios CULTURA Ramo 48</v>
          </cell>
          <cell r="C23"/>
          <cell r="D23"/>
        </row>
        <row r="24">
          <cell r="A24">
            <v>162</v>
          </cell>
          <cell r="B24" t="str">
            <v>Reintegro con Ingresos Propios UABCS</v>
          </cell>
          <cell r="C24"/>
          <cell r="D24"/>
        </row>
        <row r="25">
          <cell r="A25">
            <v>163</v>
          </cell>
          <cell r="B25" t="str">
            <v>Reintegro con Ingresos Propios CONAGUA</v>
          </cell>
          <cell r="C25"/>
          <cell r="D25"/>
        </row>
        <row r="26">
          <cell r="A26">
            <v>164</v>
          </cell>
          <cell r="B26" t="str">
            <v>Reintegro con Ingresos Propios SEGOB</v>
          </cell>
          <cell r="C26"/>
          <cell r="D26"/>
        </row>
        <row r="27">
          <cell r="A27">
            <v>165</v>
          </cell>
          <cell r="B27" t="str">
            <v>Reintegro con Ingresos Propios SECTUR</v>
          </cell>
          <cell r="C27"/>
          <cell r="D27"/>
        </row>
        <row r="28">
          <cell r="A28">
            <v>166</v>
          </cell>
          <cell r="B28" t="str">
            <v>Reintegro con Ingresos Propios PROFIS</v>
          </cell>
          <cell r="C28"/>
          <cell r="D28"/>
        </row>
        <row r="29">
          <cell r="A29">
            <v>167</v>
          </cell>
          <cell r="B29" t="str">
            <v>Reintegro con Ingresos Propios SSP</v>
          </cell>
          <cell r="C29"/>
          <cell r="D29"/>
        </row>
        <row r="30">
          <cell r="A30">
            <v>168</v>
          </cell>
          <cell r="B30" t="str">
            <v>Reintegro con Ingresos Propios COBACH</v>
          </cell>
          <cell r="C30"/>
          <cell r="D30"/>
        </row>
        <row r="31">
          <cell r="A31">
            <v>169</v>
          </cell>
          <cell r="B31" t="str">
            <v>Reintegro con Ingresos Propios Fondo Proporcional Peso a Peso</v>
          </cell>
          <cell r="C31"/>
          <cell r="D31"/>
        </row>
        <row r="32">
          <cell r="A32">
            <v>170</v>
          </cell>
          <cell r="B32" t="str">
            <v>Reintegro con Ingresos Propios CECYTE</v>
          </cell>
          <cell r="C32"/>
          <cell r="D32"/>
        </row>
        <row r="33">
          <cell r="A33">
            <v>171</v>
          </cell>
          <cell r="B33" t="str">
            <v>Reintegro con Ingresos Propios Imp. Ref. Penal (SETEC)</v>
          </cell>
          <cell r="C33"/>
          <cell r="D33"/>
        </row>
        <row r="34">
          <cell r="A34">
            <v>172</v>
          </cell>
          <cell r="B34" t="str">
            <v>Reintegro con Ingresos Propios CONADE</v>
          </cell>
          <cell r="C34"/>
          <cell r="D34"/>
        </row>
        <row r="35">
          <cell r="A35">
            <v>173</v>
          </cell>
          <cell r="B35" t="str">
            <v>Reintegro con Ingresos Propios Conv. Salud (Ramo 12)</v>
          </cell>
          <cell r="C35"/>
          <cell r="D35"/>
        </row>
        <row r="36">
          <cell r="A36">
            <v>174</v>
          </cell>
          <cell r="B36" t="str">
            <v>Reintegro con Ingresos Propios Secretaría de Economía</v>
          </cell>
          <cell r="C36"/>
          <cell r="D36"/>
        </row>
        <row r="37">
          <cell r="A37">
            <v>177</v>
          </cell>
          <cell r="B37" t="str">
            <v>Reintegro con Ingresos Propios SUBSEMUN</v>
          </cell>
          <cell r="C37"/>
          <cell r="D37"/>
        </row>
        <row r="38">
          <cell r="A38">
            <v>178</v>
          </cell>
          <cell r="B38" t="str">
            <v>Reintegro con Ingresos Propios Fondo Para La Infraest. de los Estados</v>
          </cell>
          <cell r="C38"/>
          <cell r="D38"/>
        </row>
        <row r="39">
          <cell r="A39">
            <v>179</v>
          </cell>
          <cell r="B39" t="str">
            <v>Reintegro con Ingresos Propios Apoyo Financiero Ext. UABCS</v>
          </cell>
          <cell r="C39"/>
          <cell r="D39"/>
        </row>
        <row r="40">
          <cell r="A40">
            <v>180</v>
          </cell>
          <cell r="B40" t="str">
            <v>Reintegro con Ingresos Propios Apoyo Financiero Ext. ISIFE</v>
          </cell>
          <cell r="C40"/>
          <cell r="D40"/>
        </row>
        <row r="41">
          <cell r="A41">
            <v>181</v>
          </cell>
          <cell r="B41" t="str">
            <v>Reintegro con Ingresos Propios Subs. Policía Estatal Acreditable (SPA)</v>
          </cell>
          <cell r="C41"/>
          <cell r="D41"/>
        </row>
        <row r="42">
          <cell r="A42">
            <v>182</v>
          </cell>
          <cell r="B42" t="str">
            <v>Reintegro con Ingresos Propios PROASP</v>
          </cell>
          <cell r="C42"/>
          <cell r="D42"/>
        </row>
        <row r="43">
          <cell r="A43">
            <v>183</v>
          </cell>
          <cell r="B43" t="str">
            <v>Reintegro con Ingresos Propios Ingresos Extraordinarios</v>
          </cell>
          <cell r="C43"/>
          <cell r="D43"/>
        </row>
        <row r="44">
          <cell r="A44">
            <v>184</v>
          </cell>
          <cell r="B44" t="str">
            <v>Reintegro con Ingresos Propios Ingresos Derivados del 5 Al Millar (Obra)</v>
          </cell>
          <cell r="C44"/>
          <cell r="D44"/>
        </row>
        <row r="45">
          <cell r="A45">
            <v>185</v>
          </cell>
          <cell r="B45" t="str">
            <v>Reintegro con Ingresos Propios Ingresos Extraordinarios Ramo 23</v>
          </cell>
          <cell r="C45"/>
          <cell r="D45"/>
        </row>
        <row r="46">
          <cell r="A46">
            <v>186</v>
          </cell>
          <cell r="B46" t="str">
            <v>Reintegro con Ingresos Propios Ingresos Extraordinarios Ramo 21</v>
          </cell>
          <cell r="C46"/>
          <cell r="D46"/>
        </row>
        <row r="47">
          <cell r="A47">
            <v>187</v>
          </cell>
          <cell r="B47" t="str">
            <v>Reintegro con Ingresos Propios Ingresos Extraordinarios Sep. Ramo 11</v>
          </cell>
          <cell r="C47"/>
          <cell r="D47"/>
        </row>
        <row r="48">
          <cell r="A48">
            <v>188</v>
          </cell>
          <cell r="B48" t="str">
            <v>Reintegro con Ingresos Propios Ingresos Ext. Ramo 09 (SCT)</v>
          </cell>
          <cell r="C48"/>
          <cell r="D48"/>
        </row>
        <row r="49">
          <cell r="A49">
            <v>189</v>
          </cell>
          <cell r="B49" t="str">
            <v>Reintegro con Ingresos Propios Ingresos Ext. Ramo 16 (SEMARNAT)</v>
          </cell>
          <cell r="C49"/>
          <cell r="D49"/>
        </row>
        <row r="50">
          <cell r="A50">
            <v>201</v>
          </cell>
          <cell r="B50" t="str">
            <v>BONO CUPÓN CERO</v>
          </cell>
          <cell r="C50"/>
          <cell r="D50"/>
        </row>
        <row r="51">
          <cell r="A51">
            <v>500</v>
          </cell>
          <cell r="B51" t="str">
            <v>RECURSOS FEDERALES</v>
          </cell>
          <cell r="C51"/>
          <cell r="D51"/>
        </row>
        <row r="52">
          <cell r="A52">
            <v>530</v>
          </cell>
          <cell r="B52" t="str">
            <v>PARTICIPACIONES Ramo 28</v>
          </cell>
          <cell r="C52"/>
          <cell r="D52"/>
        </row>
        <row r="53">
          <cell r="A53">
            <v>535</v>
          </cell>
          <cell r="B53" t="str">
            <v>INTERESES BANCARIOS PROYECTADOS, RECURSOS FEDERALES</v>
          </cell>
          <cell r="C53"/>
          <cell r="D53"/>
        </row>
        <row r="54">
          <cell r="A54">
            <v>536</v>
          </cell>
          <cell r="B54" t="str">
            <v>FONE Ramo 33</v>
          </cell>
          <cell r="C54"/>
          <cell r="D54"/>
        </row>
        <row r="55">
          <cell r="A55">
            <v>537</v>
          </cell>
          <cell r="B55" t="str">
            <v>FASSA Ramo 33</v>
          </cell>
          <cell r="C55"/>
          <cell r="D55"/>
        </row>
        <row r="56">
          <cell r="A56">
            <v>538</v>
          </cell>
          <cell r="B56" t="str">
            <v>FAIS/FISE Ramo 33</v>
          </cell>
          <cell r="C56"/>
          <cell r="D56"/>
        </row>
        <row r="57">
          <cell r="A57">
            <v>539</v>
          </cell>
          <cell r="B57" t="str">
            <v>FAIS/FISM Ramo 33</v>
          </cell>
          <cell r="C57"/>
          <cell r="D57"/>
        </row>
        <row r="58">
          <cell r="A58">
            <v>540</v>
          </cell>
          <cell r="B58" t="str">
            <v>FORTAMUN Ramo 33</v>
          </cell>
          <cell r="C58"/>
          <cell r="D58"/>
        </row>
        <row r="59">
          <cell r="A59">
            <v>541</v>
          </cell>
          <cell r="B59" t="str">
            <v>FAM/ASISTENCIA SOCIAL Ramo 33</v>
          </cell>
          <cell r="C59"/>
          <cell r="D59"/>
        </row>
        <row r="60">
          <cell r="A60">
            <v>542</v>
          </cell>
          <cell r="B60" t="str">
            <v>FAM/INFRAESTRUCTURA DE EDUCACIÓN BÁSICA Ramo 33</v>
          </cell>
          <cell r="C60"/>
          <cell r="D60"/>
        </row>
        <row r="61">
          <cell r="A61">
            <v>543</v>
          </cell>
          <cell r="B61" t="str">
            <v>FAM/EDUCACIÓN MEDIA SUPERIOR Y SUPERIOR Ramo 33</v>
          </cell>
          <cell r="C61"/>
          <cell r="D61"/>
        </row>
        <row r="62">
          <cell r="A62">
            <v>545</v>
          </cell>
          <cell r="B62" t="str">
            <v>FAETA/EDUCACIÓN TECNOLÓGICA ( CONALEP) Ramo 33</v>
          </cell>
          <cell r="C62"/>
          <cell r="D62"/>
        </row>
        <row r="63">
          <cell r="A63">
            <v>546</v>
          </cell>
          <cell r="B63" t="str">
            <v>FAETA/EDUCACIÓN ADULTOS (IEEA) Ramo 33</v>
          </cell>
          <cell r="C63"/>
          <cell r="D63"/>
        </row>
        <row r="64">
          <cell r="A64">
            <v>547</v>
          </cell>
          <cell r="B64" t="str">
            <v>FASP Ramo 33</v>
          </cell>
          <cell r="C64"/>
          <cell r="D64"/>
        </row>
        <row r="65">
          <cell r="A65">
            <v>548</v>
          </cell>
          <cell r="B65" t="str">
            <v>FAFEF Ramo 33</v>
          </cell>
          <cell r="C65"/>
          <cell r="D65"/>
        </row>
        <row r="66">
          <cell r="A66">
            <v>549</v>
          </cell>
          <cell r="B66" t="str">
            <v>SRIA. DE DES. AGRARIO TERRITORIAL Y URBANO (SEDATU) Ramo 15</v>
          </cell>
          <cell r="C66"/>
          <cell r="D66"/>
        </row>
        <row r="67">
          <cell r="A67">
            <v>561</v>
          </cell>
          <cell r="B67" t="str">
            <v>CULTURA FEDERAL Ramo 48</v>
          </cell>
          <cell r="C67"/>
          <cell r="D67"/>
        </row>
        <row r="68">
          <cell r="A68">
            <v>562</v>
          </cell>
          <cell r="B68" t="str">
            <v>UNIVERSIDAD AUTÓNOMA DE B.C.S. Ramo 11</v>
          </cell>
          <cell r="C68"/>
          <cell r="D68"/>
        </row>
        <row r="69">
          <cell r="A69">
            <v>563</v>
          </cell>
          <cell r="B69" t="str">
            <v>CONAGUA Ramo 16</v>
          </cell>
          <cell r="C69"/>
          <cell r="D69"/>
        </row>
        <row r="70">
          <cell r="A70">
            <v>564</v>
          </cell>
          <cell r="B70" t="str">
            <v>SECRETARÍA DE GOBERNACIÓN Ramo 04</v>
          </cell>
          <cell r="C70"/>
          <cell r="D70"/>
        </row>
        <row r="71">
          <cell r="A71">
            <v>565</v>
          </cell>
          <cell r="B71" t="str">
            <v>SECRETARÍA DE TURISMO Ramo 21</v>
          </cell>
          <cell r="C71"/>
          <cell r="D71"/>
        </row>
        <row r="72">
          <cell r="A72">
            <v>566</v>
          </cell>
          <cell r="B72" t="str">
            <v>PROFIS</v>
          </cell>
          <cell r="C72"/>
          <cell r="D72"/>
        </row>
        <row r="73">
          <cell r="A73">
            <v>567</v>
          </cell>
          <cell r="B73" t="str">
            <v>SECRETARÍA DE SEGURIDAD PÚBLICA</v>
          </cell>
          <cell r="C73"/>
          <cell r="D73"/>
        </row>
        <row r="74">
          <cell r="A74">
            <v>568</v>
          </cell>
          <cell r="B74" t="str">
            <v>COBACH Ramo 11</v>
          </cell>
          <cell r="C74"/>
          <cell r="D74"/>
        </row>
        <row r="75">
          <cell r="A75">
            <v>569</v>
          </cell>
          <cell r="B75" t="str">
            <v>FONDO PROPORCIONAL PESO A PESO</v>
          </cell>
          <cell r="C75"/>
          <cell r="D75"/>
        </row>
        <row r="76">
          <cell r="A76">
            <v>570</v>
          </cell>
          <cell r="B76" t="str">
            <v>CECYTE Ramo 11</v>
          </cell>
          <cell r="C76"/>
          <cell r="D76"/>
        </row>
        <row r="77">
          <cell r="A77">
            <v>571</v>
          </cell>
          <cell r="B77" t="str">
            <v>IMPLEMENTACIÓN DE LA REFORMA PENAL (SETEC)</v>
          </cell>
          <cell r="C77"/>
          <cell r="D77"/>
        </row>
        <row r="78">
          <cell r="A78">
            <v>572</v>
          </cell>
          <cell r="B78" t="str">
            <v>CONADE Ramo 11</v>
          </cell>
          <cell r="C78"/>
          <cell r="D78"/>
        </row>
        <row r="79">
          <cell r="A79">
            <v>573</v>
          </cell>
          <cell r="B79" t="str">
            <v>CONVENIOS Ramo 12</v>
          </cell>
          <cell r="C79"/>
          <cell r="D79"/>
        </row>
        <row r="80">
          <cell r="A80">
            <v>574</v>
          </cell>
          <cell r="B80" t="str">
            <v>SECRETARÍA DE ECONOMÍA Ramo 10</v>
          </cell>
          <cell r="C80"/>
          <cell r="D80"/>
        </row>
        <row r="81">
          <cell r="A81">
            <v>577</v>
          </cell>
          <cell r="B81" t="str">
            <v>SUBSIDIO SEGURIDAD PÚBLICA MUNICIPAL</v>
          </cell>
          <cell r="C81"/>
          <cell r="D81"/>
        </row>
        <row r="82">
          <cell r="A82">
            <v>578</v>
          </cell>
          <cell r="B82" t="str">
            <v>FIDEICOMISO PARA LA INFRAESTRUCTURA DE LOS ESTADOS Ramo 23</v>
          </cell>
          <cell r="C82"/>
          <cell r="D82"/>
        </row>
        <row r="83">
          <cell r="A83">
            <v>579</v>
          </cell>
          <cell r="B83" t="str">
            <v>APOYO FINANCIERO EXTRAORDINARIO UABCS Ramo 11</v>
          </cell>
          <cell r="C83"/>
          <cell r="D83"/>
        </row>
        <row r="84">
          <cell r="A84">
            <v>580</v>
          </cell>
          <cell r="B84" t="str">
            <v>APOYO FINANCIERO EXTRAORDINARIO ISIFE Ramo 11</v>
          </cell>
          <cell r="C84"/>
          <cell r="D84"/>
        </row>
        <row r="85">
          <cell r="A85">
            <v>581</v>
          </cell>
          <cell r="B85" t="str">
            <v>SUBSIDIO POLICÍA ESTATAL ACREDITABLE (SPA)</v>
          </cell>
          <cell r="C85"/>
          <cell r="D85"/>
        </row>
        <row r="86">
          <cell r="A86">
            <v>582</v>
          </cell>
          <cell r="B86" t="str">
            <v>PROASP PROG. DE ALCANCE NAL. EN MAT. DE SEG. PUB. Ramo 04</v>
          </cell>
          <cell r="C86"/>
          <cell r="D86"/>
        </row>
        <row r="87">
          <cell r="A87">
            <v>583</v>
          </cell>
          <cell r="B87" t="str">
            <v>INGRESOS EXTRAORDINARIOS</v>
          </cell>
          <cell r="C87"/>
          <cell r="D87"/>
        </row>
        <row r="88">
          <cell r="A88">
            <v>584</v>
          </cell>
          <cell r="B88" t="str">
            <v>INGRESOS DERIVADOS DEL 5 AL MILLAR (OBRA)</v>
          </cell>
          <cell r="C88"/>
          <cell r="D88"/>
        </row>
        <row r="89">
          <cell r="A89">
            <v>585</v>
          </cell>
          <cell r="B89" t="str">
            <v>INGRESOS EXT Ramo 23 ( Provisiones Salariales y Económicas )</v>
          </cell>
          <cell r="C89"/>
          <cell r="D89"/>
        </row>
        <row r="90">
          <cell r="A90">
            <v>586</v>
          </cell>
          <cell r="B90" t="str">
            <v>INGRESOS EXT Ramo 21 (TURISMO)</v>
          </cell>
          <cell r="C90"/>
          <cell r="D90"/>
        </row>
        <row r="91">
          <cell r="A91">
            <v>587</v>
          </cell>
          <cell r="B91" t="str">
            <v>INGRESOS EXT Ramo 11 (SEP)</v>
          </cell>
          <cell r="C91"/>
          <cell r="D91"/>
        </row>
        <row r="92">
          <cell r="A92">
            <v>588</v>
          </cell>
          <cell r="B92" t="str">
            <v>INGRESOS EXT Ramo 09 (SCT)</v>
          </cell>
          <cell r="C92"/>
          <cell r="D92"/>
        </row>
        <row r="93">
          <cell r="A93">
            <v>589</v>
          </cell>
          <cell r="B93" t="str">
            <v>INGRESOS EXT Ramo 16 (SEMARNAT)</v>
          </cell>
          <cell r="C93"/>
          <cell r="D93"/>
        </row>
        <row r="94">
          <cell r="A94">
            <v>590</v>
          </cell>
          <cell r="B94" t="str">
            <v>INGRESOS EXT FORTASEG Ramo 04 (GOBERNACIÓN)</v>
          </cell>
          <cell r="C94"/>
          <cell r="D94"/>
        </row>
        <row r="95">
          <cell r="A95">
            <v>591</v>
          </cell>
          <cell r="B95" t="str">
            <v>INGRESOS EXT Ramo 20 (BIENESTAR)</v>
          </cell>
          <cell r="C95"/>
          <cell r="D95"/>
        </row>
        <row r="96">
          <cell r="A96">
            <v>598</v>
          </cell>
          <cell r="B96" t="str">
            <v>REMANENTE FONE 2016</v>
          </cell>
          <cell r="C96"/>
          <cell r="D96"/>
        </row>
        <row r="97">
          <cell r="A97">
            <v>599</v>
          </cell>
          <cell r="B97" t="str">
            <v>REMANENTE FONE 2015</v>
          </cell>
          <cell r="C97"/>
          <cell r="D97"/>
        </row>
        <row r="98">
          <cell r="A98">
            <v>700</v>
          </cell>
          <cell r="B98" t="str">
            <v>OTROS RECURSOS</v>
          </cell>
          <cell r="C98"/>
          <cell r="D98"/>
        </row>
        <row r="99">
          <cell r="A99">
            <v>736</v>
          </cell>
          <cell r="B99" t="str">
            <v>RENDIMIENTOS FONE</v>
          </cell>
          <cell r="C99"/>
          <cell r="D99"/>
        </row>
        <row r="100">
          <cell r="A100">
            <v>737</v>
          </cell>
          <cell r="B100" t="str">
            <v>RENDIMIENTOS FAM</v>
          </cell>
          <cell r="C100"/>
          <cell r="D100"/>
        </row>
        <row r="101">
          <cell r="A101">
            <v>747</v>
          </cell>
          <cell r="B101" t="str">
            <v>RENDIMIENTOS FASP</v>
          </cell>
          <cell r="C101"/>
          <cell r="D101"/>
        </row>
        <row r="102">
          <cell r="A102">
            <v>783</v>
          </cell>
          <cell r="B102" t="str">
            <v>INGRESOS EXTRAORDINARIOS (OTROS)</v>
          </cell>
          <cell r="C102"/>
          <cell r="D102"/>
        </row>
      </sheetData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AS"/>
      <sheetName val="CAPITULO"/>
      <sheetName val="PARTIDA"/>
      <sheetName val="COG"/>
      <sheetName val="FF"/>
      <sheetName val="PROCED"/>
    </sheetNames>
    <sheetDataSet>
      <sheetData sheetId="0"/>
      <sheetData sheetId="1"/>
      <sheetData sheetId="2"/>
      <sheetData sheetId="3">
        <row r="1">
          <cell r="A1" t="str">
            <v>CUENTA</v>
          </cell>
          <cell r="B1" t="str">
            <v>CONCEPTO</v>
          </cell>
          <cell r="C1" t="str">
            <v>AFECTABLE/ NO
AFECTABLE</v>
          </cell>
        </row>
        <row r="2">
          <cell r="A2">
            <v>210000</v>
          </cell>
          <cell r="B2" t="str">
            <v>MATERIALES DE ADMINISTRACIÓN, EMISIÓN DE DOCUMENTOS Y ARTÍCULO OFICIALES</v>
          </cell>
          <cell r="C2" t="str">
            <v>N</v>
          </cell>
        </row>
        <row r="3">
          <cell r="A3">
            <v>211000</v>
          </cell>
          <cell r="B3" t="str">
            <v>Materiales, útiles y equipos menores de oficina</v>
          </cell>
          <cell r="C3" t="str">
            <v>N</v>
          </cell>
        </row>
        <row r="4">
          <cell r="A4">
            <v>211001</v>
          </cell>
          <cell r="B4" t="str">
            <v>Material de oficina</v>
          </cell>
          <cell r="C4" t="str">
            <v>S</v>
          </cell>
        </row>
        <row r="5">
          <cell r="A5">
            <v>212000</v>
          </cell>
          <cell r="B5" t="str">
            <v>Materiales y útiles de impresión y reproducción</v>
          </cell>
          <cell r="C5" t="str">
            <v>N</v>
          </cell>
        </row>
        <row r="6">
          <cell r="A6">
            <v>212001</v>
          </cell>
          <cell r="B6" t="str">
            <v>Material y útiles de impresión</v>
          </cell>
          <cell r="C6" t="str">
            <v>S</v>
          </cell>
        </row>
        <row r="7">
          <cell r="A7">
            <v>213000</v>
          </cell>
          <cell r="B7" t="str">
            <v>Material estadístico y geográfico</v>
          </cell>
          <cell r="C7" t="str">
            <v>N</v>
          </cell>
        </row>
        <row r="8">
          <cell r="A8">
            <v>213001</v>
          </cell>
          <cell r="B8" t="str">
            <v>Material estadístico y geográfico</v>
          </cell>
          <cell r="C8" t="str">
            <v>S</v>
          </cell>
        </row>
        <row r="9">
          <cell r="A9">
            <v>214000</v>
          </cell>
          <cell r="B9" t="str">
            <v>Materiales, útiles y equipos menores de tecnologías de la información y comunicaciones</v>
          </cell>
          <cell r="C9" t="str">
            <v>N</v>
          </cell>
        </row>
        <row r="10">
          <cell r="A10">
            <v>214001</v>
          </cell>
          <cell r="B10" t="str">
            <v>Materiales, útiles y equipos menores de tecnologías de la información y comunicaciones</v>
          </cell>
          <cell r="C10" t="str">
            <v>S</v>
          </cell>
        </row>
        <row r="11">
          <cell r="A11">
            <v>215000</v>
          </cell>
          <cell r="B11" t="str">
            <v>Material impreso e información digital</v>
          </cell>
          <cell r="C11" t="str">
            <v>N</v>
          </cell>
        </row>
        <row r="12">
          <cell r="A12">
            <v>215001</v>
          </cell>
          <cell r="B12" t="str">
            <v>Material didáctico</v>
          </cell>
          <cell r="C12" t="str">
            <v>S</v>
          </cell>
        </row>
        <row r="13">
          <cell r="A13">
            <v>215002</v>
          </cell>
          <cell r="B13" t="str">
            <v>Suscripciones a Periódicos, Revistas y Publicaciones Especializadas</v>
          </cell>
          <cell r="C13" t="str">
            <v>S</v>
          </cell>
        </row>
        <row r="14">
          <cell r="A14">
            <v>215003</v>
          </cell>
          <cell r="B14" t="str">
            <v>Material impreso e información digital</v>
          </cell>
          <cell r="C14" t="str">
            <v>S</v>
          </cell>
        </row>
        <row r="15">
          <cell r="A15">
            <v>216000</v>
          </cell>
          <cell r="B15" t="str">
            <v>Material de limpieza</v>
          </cell>
          <cell r="C15" t="str">
            <v>N</v>
          </cell>
        </row>
        <row r="16">
          <cell r="A16">
            <v>216001</v>
          </cell>
          <cell r="B16" t="str">
            <v>Material de limpieza</v>
          </cell>
          <cell r="C16" t="str">
            <v>S</v>
          </cell>
        </row>
        <row r="17">
          <cell r="A17">
            <v>217000</v>
          </cell>
          <cell r="B17" t="str">
            <v>Materiales y útiles de enseñanza</v>
          </cell>
          <cell r="C17" t="str">
            <v>N</v>
          </cell>
        </row>
        <row r="18">
          <cell r="A18">
            <v>217001</v>
          </cell>
          <cell r="B18" t="str">
            <v>Materiales y útiles de enseñanza</v>
          </cell>
          <cell r="C18" t="str">
            <v>S</v>
          </cell>
        </row>
        <row r="19">
          <cell r="A19">
            <v>218000</v>
          </cell>
          <cell r="B19" t="str">
            <v>Materiales para el registro e identificación de bienes y personas</v>
          </cell>
          <cell r="C19" t="str">
            <v>N</v>
          </cell>
        </row>
        <row r="20">
          <cell r="A20">
            <v>218001</v>
          </cell>
          <cell r="B20" t="str">
            <v>Materiales para el registro e identificación de bienes y personas</v>
          </cell>
          <cell r="C20" t="str">
            <v>S</v>
          </cell>
        </row>
        <row r="21">
          <cell r="A21">
            <v>218002</v>
          </cell>
          <cell r="B21" t="str">
            <v>Placas, Engomados, Calcomanías y Hologramas</v>
          </cell>
          <cell r="C21" t="str">
            <v>S</v>
          </cell>
        </row>
        <row r="22">
          <cell r="A22">
            <v>218003</v>
          </cell>
          <cell r="B22" t="str">
            <v>Emisión de Licencias de Conducir</v>
          </cell>
          <cell r="C22" t="str">
            <v>S</v>
          </cell>
        </row>
        <row r="23">
          <cell r="A23">
            <v>218004</v>
          </cell>
          <cell r="B23" t="str">
            <v>Emisión de Formatos Únicos de Control Vehicular</v>
          </cell>
          <cell r="C23" t="str">
            <v>S</v>
          </cell>
        </row>
        <row r="24">
          <cell r="A24">
            <v>220000</v>
          </cell>
          <cell r="B24" t="str">
            <v>ALIMENTOS Y UTENSILIOS</v>
          </cell>
          <cell r="C24" t="str">
            <v>N</v>
          </cell>
        </row>
        <row r="25">
          <cell r="A25">
            <v>221000</v>
          </cell>
          <cell r="B25" t="str">
            <v>Productos alimenticios para personas</v>
          </cell>
          <cell r="C25" t="str">
            <v>N</v>
          </cell>
        </row>
        <row r="26">
          <cell r="A26">
            <v>221001</v>
          </cell>
          <cell r="B26" t="str">
            <v>Alimentación de personas</v>
          </cell>
          <cell r="C26" t="str">
            <v>S</v>
          </cell>
        </row>
        <row r="27">
          <cell r="A27">
            <v>222000</v>
          </cell>
          <cell r="B27" t="str">
            <v>Productos alimenticios para animales</v>
          </cell>
          <cell r="C27" t="str">
            <v>N</v>
          </cell>
        </row>
        <row r="28">
          <cell r="A28">
            <v>222001</v>
          </cell>
          <cell r="B28" t="str">
            <v>Alimentación de animales</v>
          </cell>
          <cell r="C28" t="str">
            <v>S</v>
          </cell>
        </row>
        <row r="29">
          <cell r="A29">
            <v>223000</v>
          </cell>
          <cell r="B29" t="str">
            <v>Utensilios para el servicio de alimentación</v>
          </cell>
          <cell r="C29" t="str">
            <v>N</v>
          </cell>
        </row>
        <row r="30">
          <cell r="A30">
            <v>223001</v>
          </cell>
          <cell r="B30" t="str">
            <v>Utensilios para el servicio de alimentación</v>
          </cell>
          <cell r="C30" t="str">
            <v>S</v>
          </cell>
        </row>
        <row r="31">
          <cell r="A31">
            <v>230000</v>
          </cell>
          <cell r="B31" t="str">
            <v>MATERIAS PRIMAS Y MATERIALES DE PRODUCCIÓN Y COMERCIALIZACIÓN</v>
          </cell>
          <cell r="C31" t="str">
            <v>N</v>
          </cell>
        </row>
        <row r="32">
          <cell r="A32">
            <v>231000</v>
          </cell>
          <cell r="B32" t="str">
            <v>Productos alimenticios, agropecuarios y forestales adquiridos como materia prima</v>
          </cell>
          <cell r="C32" t="str">
            <v>N</v>
          </cell>
        </row>
        <row r="33">
          <cell r="A33">
            <v>231001</v>
          </cell>
          <cell r="B33" t="str">
            <v>Materias primas para producción</v>
          </cell>
          <cell r="C33" t="str">
            <v>S</v>
          </cell>
        </row>
        <row r="34">
          <cell r="A34">
            <v>232000</v>
          </cell>
          <cell r="B34" t="str">
            <v>Insumos textiles adquiridos como materia prima</v>
          </cell>
          <cell r="C34" t="str">
            <v>N</v>
          </cell>
        </row>
        <row r="35">
          <cell r="A35">
            <v>232001</v>
          </cell>
          <cell r="B35" t="str">
            <v>Insumos textiles adquiridos como materia prima</v>
          </cell>
          <cell r="C35" t="str">
            <v>S</v>
          </cell>
        </row>
        <row r="36">
          <cell r="A36">
            <v>233000</v>
          </cell>
          <cell r="B36" t="str">
            <v>Productos de papel, cartón e impresos adquiridos como materia prima</v>
          </cell>
          <cell r="C36" t="str">
            <v>N</v>
          </cell>
        </row>
        <row r="37">
          <cell r="A37">
            <v>233001</v>
          </cell>
          <cell r="B37" t="str">
            <v>Productos de papel, cartón e impresos adquiridos como materia prima</v>
          </cell>
          <cell r="C37" t="str">
            <v>S</v>
          </cell>
        </row>
        <row r="38">
          <cell r="A38">
            <v>234000</v>
          </cell>
          <cell r="B38" t="str">
            <v>Combustibles, lubricantes, aditivos, carbón y sus derivados adquiridos como materia prima</v>
          </cell>
          <cell r="C38" t="str">
            <v>N</v>
          </cell>
        </row>
        <row r="39">
          <cell r="A39">
            <v>234001</v>
          </cell>
          <cell r="B39" t="str">
            <v>Combustibles, lubricantes, aditivos, carbón y sus derivados adquiridos como materia prima</v>
          </cell>
          <cell r="C39" t="str">
            <v>S</v>
          </cell>
        </row>
        <row r="40">
          <cell r="A40">
            <v>235000</v>
          </cell>
          <cell r="B40" t="str">
            <v>Productos químicos, farmacéuticos y de laboratorio adquiridos como materia prima</v>
          </cell>
          <cell r="C40" t="str">
            <v>N</v>
          </cell>
        </row>
        <row r="41">
          <cell r="A41">
            <v>235001</v>
          </cell>
          <cell r="B41" t="str">
            <v>Productos químicos, farmacéuticos y de laboratorio adquiridos como materia prima</v>
          </cell>
          <cell r="C41" t="str">
            <v>S</v>
          </cell>
        </row>
        <row r="42">
          <cell r="A42">
            <v>236000</v>
          </cell>
          <cell r="B42" t="str">
            <v>Productos metálicos y a base de minerales no metálicos adquiridos como materia prima</v>
          </cell>
          <cell r="C42" t="str">
            <v>N</v>
          </cell>
        </row>
        <row r="43">
          <cell r="A43">
            <v>236001</v>
          </cell>
          <cell r="B43" t="str">
            <v>Productos metálicos y a base de minerales no metálicos adquiridos como materia prima</v>
          </cell>
          <cell r="C43" t="str">
            <v>S</v>
          </cell>
        </row>
        <row r="44">
          <cell r="A44">
            <v>237000</v>
          </cell>
          <cell r="B44" t="str">
            <v>Productos de cuero, piel, plástico y hule adquiridos como materia prima</v>
          </cell>
          <cell r="C44" t="str">
            <v>N</v>
          </cell>
        </row>
        <row r="45">
          <cell r="A45">
            <v>237001</v>
          </cell>
          <cell r="B45" t="str">
            <v>Productos de cuero, piel, plástico y hule adquiridos como materia prima</v>
          </cell>
          <cell r="C45" t="str">
            <v>S</v>
          </cell>
        </row>
        <row r="46">
          <cell r="A46">
            <v>238000</v>
          </cell>
          <cell r="B46" t="str">
            <v>Mercancías adquiridas para su comercialización</v>
          </cell>
          <cell r="C46" t="str">
            <v>N</v>
          </cell>
        </row>
        <row r="47">
          <cell r="A47">
            <v>238001</v>
          </cell>
          <cell r="B47" t="str">
            <v>Mercancías adquiridas para su comercialización</v>
          </cell>
          <cell r="C47" t="str">
            <v>S</v>
          </cell>
        </row>
        <row r="48">
          <cell r="A48">
            <v>240000</v>
          </cell>
          <cell r="B48" t="str">
            <v>MATERIALES Y ARTÍCULOS DE CONSTRUCCIÓN Y DE REPARACIÓN</v>
          </cell>
          <cell r="C48" t="str">
            <v>N</v>
          </cell>
        </row>
        <row r="49">
          <cell r="A49">
            <v>241000</v>
          </cell>
          <cell r="B49" t="str">
            <v>Productos minerales no metálicos</v>
          </cell>
          <cell r="C49" t="str">
            <v>N</v>
          </cell>
        </row>
        <row r="50">
          <cell r="A50">
            <v>241001</v>
          </cell>
          <cell r="B50" t="str">
            <v>Productos minerales no metálicos</v>
          </cell>
          <cell r="C50" t="str">
            <v>S</v>
          </cell>
        </row>
        <row r="51">
          <cell r="A51">
            <v>242000</v>
          </cell>
          <cell r="B51" t="str">
            <v>Cemento y productos de concreto</v>
          </cell>
          <cell r="C51" t="str">
            <v>N</v>
          </cell>
        </row>
        <row r="52">
          <cell r="A52">
            <v>242001</v>
          </cell>
          <cell r="B52" t="str">
            <v>Cemento y productos de concreto</v>
          </cell>
          <cell r="C52" t="str">
            <v>S</v>
          </cell>
        </row>
        <row r="53">
          <cell r="A53">
            <v>243000</v>
          </cell>
          <cell r="B53" t="str">
            <v>Cal, yeso y productos de yeso</v>
          </cell>
          <cell r="C53" t="str">
            <v>N</v>
          </cell>
        </row>
        <row r="54">
          <cell r="A54">
            <v>243001</v>
          </cell>
          <cell r="B54" t="str">
            <v>Cal, yeso y productos de yeso</v>
          </cell>
          <cell r="C54" t="str">
            <v>S</v>
          </cell>
        </row>
        <row r="55">
          <cell r="A55">
            <v>244000</v>
          </cell>
          <cell r="B55" t="str">
            <v>Madera y productos de madera</v>
          </cell>
          <cell r="C55" t="str">
            <v>N</v>
          </cell>
        </row>
        <row r="56">
          <cell r="A56">
            <v>244001</v>
          </cell>
          <cell r="B56" t="str">
            <v>Madera y productos de madera</v>
          </cell>
          <cell r="C56" t="str">
            <v>S</v>
          </cell>
        </row>
        <row r="57">
          <cell r="A57">
            <v>245000</v>
          </cell>
          <cell r="B57" t="str">
            <v>Vidrio y productos de vidrio</v>
          </cell>
          <cell r="C57" t="str">
            <v>N</v>
          </cell>
        </row>
        <row r="58">
          <cell r="A58">
            <v>245001</v>
          </cell>
          <cell r="B58" t="str">
            <v>Vidrio y productos de vidrio</v>
          </cell>
          <cell r="C58" t="str">
            <v>S</v>
          </cell>
        </row>
        <row r="59">
          <cell r="A59">
            <v>246000</v>
          </cell>
          <cell r="B59" t="str">
            <v>Material eléctrico y electrónico</v>
          </cell>
          <cell r="C59" t="str">
            <v>N</v>
          </cell>
        </row>
        <row r="60">
          <cell r="A60">
            <v>246001</v>
          </cell>
          <cell r="B60" t="str">
            <v>Material eléctrico</v>
          </cell>
          <cell r="C60" t="str">
            <v>S</v>
          </cell>
        </row>
        <row r="61">
          <cell r="A61">
            <v>246002</v>
          </cell>
          <cell r="B61" t="str">
            <v>Material electrónico</v>
          </cell>
          <cell r="C61" t="str">
            <v>S</v>
          </cell>
        </row>
        <row r="62">
          <cell r="A62">
            <v>247000</v>
          </cell>
          <cell r="B62" t="str">
            <v>Artículos metálicos para la construcción</v>
          </cell>
          <cell r="C62" t="str">
            <v>N</v>
          </cell>
        </row>
        <row r="63">
          <cell r="A63">
            <v>247001</v>
          </cell>
          <cell r="B63" t="str">
            <v>Artículos metálicos para la construcción</v>
          </cell>
          <cell r="C63" t="str">
            <v>S</v>
          </cell>
        </row>
        <row r="64">
          <cell r="A64">
            <v>248000</v>
          </cell>
          <cell r="B64" t="str">
            <v>Materiales complementarios</v>
          </cell>
          <cell r="C64" t="str">
            <v>N</v>
          </cell>
        </row>
        <row r="65">
          <cell r="A65">
            <v>248001</v>
          </cell>
          <cell r="B65" t="str">
            <v>Materiales complementarios</v>
          </cell>
          <cell r="C65" t="str">
            <v>S</v>
          </cell>
        </row>
        <row r="66">
          <cell r="A66">
            <v>249000</v>
          </cell>
          <cell r="B66" t="str">
            <v>Otros materiales y artículos de construcción y reparación</v>
          </cell>
          <cell r="C66" t="str">
            <v>N</v>
          </cell>
        </row>
        <row r="67">
          <cell r="A67">
            <v>249001</v>
          </cell>
          <cell r="B67" t="str">
            <v>Materiales de construcción y complementarios</v>
          </cell>
          <cell r="C67" t="str">
            <v>S</v>
          </cell>
        </row>
        <row r="68">
          <cell r="A68">
            <v>249002</v>
          </cell>
          <cell r="B68" t="str">
            <v>Otros materiales de construcción y reparación</v>
          </cell>
          <cell r="C68" t="str">
            <v>S</v>
          </cell>
        </row>
        <row r="69">
          <cell r="A69">
            <v>250000</v>
          </cell>
          <cell r="B69" t="str">
            <v>PRODUCTOS QUÍMICOS, FARMACÉUTICOS Y DE LABORATORIO</v>
          </cell>
          <cell r="C69" t="str">
            <v>N</v>
          </cell>
        </row>
        <row r="70">
          <cell r="A70">
            <v>251000</v>
          </cell>
          <cell r="B70" t="str">
            <v>Productos químicos básicos</v>
          </cell>
          <cell r="C70" t="str">
            <v>N</v>
          </cell>
        </row>
        <row r="71">
          <cell r="A71">
            <v>251001</v>
          </cell>
          <cell r="B71" t="str">
            <v>Gas Refrigerante</v>
          </cell>
          <cell r="C71" t="str">
            <v>S</v>
          </cell>
        </row>
        <row r="72">
          <cell r="A72">
            <v>252000</v>
          </cell>
          <cell r="B72" t="str">
            <v>Fertilizantes, pesticidas y otros agroquímicos</v>
          </cell>
          <cell r="C72" t="str">
            <v>N</v>
          </cell>
        </row>
        <row r="73">
          <cell r="A73">
            <v>252001</v>
          </cell>
          <cell r="B73" t="str">
            <v>Fertilizantes, pesticidas y otros agroquímicos</v>
          </cell>
          <cell r="C73" t="str">
            <v>S</v>
          </cell>
        </row>
        <row r="74">
          <cell r="A74">
            <v>253000</v>
          </cell>
          <cell r="B74" t="str">
            <v>Medicinas y productos químicos, farmacéuticos</v>
          </cell>
          <cell r="C74" t="str">
            <v>N</v>
          </cell>
        </row>
        <row r="75">
          <cell r="A75">
            <v>253001</v>
          </cell>
          <cell r="B75" t="str">
            <v>Material y productos químicos, farmacéuticos</v>
          </cell>
          <cell r="C75" t="str">
            <v>S</v>
          </cell>
        </row>
        <row r="76">
          <cell r="A76">
            <v>254000</v>
          </cell>
          <cell r="B76" t="str">
            <v>Materiales, accesorios y suministros médicos</v>
          </cell>
          <cell r="C76" t="str">
            <v>N</v>
          </cell>
        </row>
        <row r="77">
          <cell r="A77">
            <v>254001</v>
          </cell>
          <cell r="B77" t="str">
            <v>Materiales, accesorios y suministros médicos</v>
          </cell>
          <cell r="C77" t="str">
            <v>S</v>
          </cell>
        </row>
        <row r="78">
          <cell r="A78">
            <v>255000</v>
          </cell>
          <cell r="B78" t="str">
            <v>Materiales, accesorios y suministros de laboratorio</v>
          </cell>
          <cell r="C78" t="str">
            <v>N</v>
          </cell>
        </row>
        <row r="79">
          <cell r="A79">
            <v>255001</v>
          </cell>
          <cell r="B79" t="str">
            <v>Materiales, accesorios y suministros de laboratorio</v>
          </cell>
          <cell r="C79" t="str">
            <v>S</v>
          </cell>
        </row>
        <row r="80">
          <cell r="A80">
            <v>256000</v>
          </cell>
          <cell r="B80" t="str">
            <v>Fibras sintéticas, hules, plásticos y derivados</v>
          </cell>
          <cell r="C80" t="str">
            <v>N</v>
          </cell>
        </row>
        <row r="81">
          <cell r="A81">
            <v>256001</v>
          </cell>
          <cell r="B81" t="str">
            <v>Fibras sintéticas, hules, plásticos y derivados</v>
          </cell>
          <cell r="C81" t="str">
            <v>S</v>
          </cell>
        </row>
        <row r="82">
          <cell r="A82">
            <v>259000</v>
          </cell>
          <cell r="B82" t="str">
            <v>Otros productos químicos</v>
          </cell>
          <cell r="C82" t="str">
            <v>N</v>
          </cell>
        </row>
        <row r="83">
          <cell r="A83">
            <v>259001</v>
          </cell>
          <cell r="B83" t="str">
            <v>Otros productos químicos</v>
          </cell>
          <cell r="C83" t="str">
            <v>S</v>
          </cell>
        </row>
        <row r="84">
          <cell r="A84">
            <v>260000</v>
          </cell>
          <cell r="B84" t="str">
            <v>COMBUSTIBLES, LUBRICANTES Y ADITIVOS</v>
          </cell>
          <cell r="C84" t="str">
            <v>N</v>
          </cell>
        </row>
        <row r="85">
          <cell r="A85">
            <v>261000</v>
          </cell>
          <cell r="B85" t="str">
            <v>Combustibles, lubricantes y aditivos</v>
          </cell>
          <cell r="C85" t="str">
            <v>N</v>
          </cell>
        </row>
        <row r="86">
          <cell r="A86">
            <v>261001</v>
          </cell>
          <cell r="B86" t="str">
            <v>Combustibles</v>
          </cell>
          <cell r="C86" t="str">
            <v>S</v>
          </cell>
        </row>
        <row r="87">
          <cell r="A87">
            <v>261002</v>
          </cell>
          <cell r="B87" t="str">
            <v>Lubricantes y aditivos</v>
          </cell>
          <cell r="C87" t="str">
            <v>S</v>
          </cell>
        </row>
        <row r="88">
          <cell r="A88">
            <v>262000</v>
          </cell>
          <cell r="B88" t="str">
            <v>Carbón y sus derivados</v>
          </cell>
          <cell r="C88" t="str">
            <v>N</v>
          </cell>
        </row>
        <row r="89">
          <cell r="A89">
            <v>262001</v>
          </cell>
          <cell r="B89" t="str">
            <v>Carbón y sus derivados</v>
          </cell>
          <cell r="C89" t="str">
            <v>S</v>
          </cell>
        </row>
        <row r="90">
          <cell r="A90">
            <v>270000</v>
          </cell>
          <cell r="B90" t="str">
            <v>VESTUARIO, BLANCOS, PRENDAS DE PROTECCIÓN Y ARTÍCULOS DEPORTIVOS</v>
          </cell>
          <cell r="C90" t="str">
            <v>N</v>
          </cell>
        </row>
        <row r="91">
          <cell r="A91">
            <v>271000</v>
          </cell>
          <cell r="B91" t="str">
            <v>Vestuario y uniformes</v>
          </cell>
          <cell r="C91" t="str">
            <v>N</v>
          </cell>
        </row>
        <row r="92">
          <cell r="A92">
            <v>271001</v>
          </cell>
          <cell r="B92" t="str">
            <v>Ropa, vestuario y equipo</v>
          </cell>
          <cell r="C92" t="str">
            <v>S</v>
          </cell>
        </row>
        <row r="93">
          <cell r="A93">
            <v>272000</v>
          </cell>
          <cell r="B93" t="str">
            <v>Prendas de seguridad y protección personal</v>
          </cell>
          <cell r="C93" t="str">
            <v>N</v>
          </cell>
        </row>
        <row r="94">
          <cell r="A94">
            <v>272001</v>
          </cell>
          <cell r="B94" t="str">
            <v>Materiales explosivos y de seguridad pública</v>
          </cell>
          <cell r="C94" t="str">
            <v>S</v>
          </cell>
        </row>
        <row r="95">
          <cell r="A95">
            <v>272002</v>
          </cell>
          <cell r="B95" t="str">
            <v>Prendas de seguridad y protección personal</v>
          </cell>
          <cell r="C95" t="str">
            <v>S</v>
          </cell>
        </row>
        <row r="96">
          <cell r="A96">
            <v>273000</v>
          </cell>
          <cell r="B96" t="str">
            <v>Artículos deportivos</v>
          </cell>
          <cell r="C96" t="str">
            <v>N</v>
          </cell>
        </row>
        <row r="97">
          <cell r="A97">
            <v>273001</v>
          </cell>
          <cell r="B97" t="str">
            <v>Artículos deportivos</v>
          </cell>
          <cell r="C97" t="str">
            <v>S</v>
          </cell>
        </row>
        <row r="98">
          <cell r="A98">
            <v>274000</v>
          </cell>
          <cell r="B98" t="str">
            <v>Productos textiles</v>
          </cell>
          <cell r="C98" t="str">
            <v>N</v>
          </cell>
        </row>
        <row r="99">
          <cell r="A99">
            <v>274001</v>
          </cell>
          <cell r="B99" t="str">
            <v>Productos textiles</v>
          </cell>
          <cell r="C99" t="str">
            <v>S</v>
          </cell>
        </row>
        <row r="100">
          <cell r="A100">
            <v>275000</v>
          </cell>
          <cell r="B100" t="str">
            <v>Blancos y otros productos textiles, excepto prendas de vestir</v>
          </cell>
          <cell r="C100" t="str">
            <v>N</v>
          </cell>
        </row>
        <row r="101">
          <cell r="A101">
            <v>275001</v>
          </cell>
          <cell r="B101" t="str">
            <v>Blancos y otros productos textiles, excepto prendas de vestir</v>
          </cell>
          <cell r="C101" t="str">
            <v>S</v>
          </cell>
        </row>
        <row r="102">
          <cell r="A102">
            <v>280000</v>
          </cell>
          <cell r="B102" t="str">
            <v>MATERIALES Y SUMINISTROS PARA SEGURIDAD</v>
          </cell>
          <cell r="C102" t="str">
            <v>N</v>
          </cell>
        </row>
        <row r="103">
          <cell r="A103">
            <v>281000</v>
          </cell>
          <cell r="B103" t="str">
            <v>Sustancias y materiales explosivos</v>
          </cell>
          <cell r="C103" t="str">
            <v>N</v>
          </cell>
        </row>
        <row r="104">
          <cell r="A104">
            <v>281001</v>
          </cell>
          <cell r="B104" t="str">
            <v>Sustancias y materiales explosivos</v>
          </cell>
          <cell r="C104" t="str">
            <v>S</v>
          </cell>
        </row>
        <row r="105">
          <cell r="A105">
            <v>282000</v>
          </cell>
          <cell r="B105" t="str">
            <v>Materiales de seguridad pública</v>
          </cell>
          <cell r="C105" t="str">
            <v>N</v>
          </cell>
        </row>
        <row r="106">
          <cell r="A106">
            <v>282001</v>
          </cell>
          <cell r="B106" t="str">
            <v>Materiales de seguridad pública</v>
          </cell>
          <cell r="C106" t="str">
            <v>S</v>
          </cell>
        </row>
        <row r="107">
          <cell r="A107">
            <v>283000</v>
          </cell>
          <cell r="B107" t="str">
            <v>Prendas de protección para seguridad pública y nacional</v>
          </cell>
          <cell r="C107" t="str">
            <v>N</v>
          </cell>
        </row>
        <row r="108">
          <cell r="A108">
            <v>283001</v>
          </cell>
          <cell r="B108" t="str">
            <v>Prendas de protección para seguridad pública</v>
          </cell>
          <cell r="C108" t="str">
            <v>S</v>
          </cell>
        </row>
        <row r="109">
          <cell r="A109">
            <v>290000</v>
          </cell>
          <cell r="B109" t="str">
            <v>HERRAMIENTAS, REFACCIONES Y ACCESORIOS MENORES</v>
          </cell>
          <cell r="C109" t="str">
            <v>N</v>
          </cell>
        </row>
        <row r="110">
          <cell r="A110">
            <v>291000</v>
          </cell>
          <cell r="B110" t="str">
            <v>Herramientas menores</v>
          </cell>
          <cell r="C110" t="str">
            <v>N</v>
          </cell>
        </row>
        <row r="111">
          <cell r="A111">
            <v>291001</v>
          </cell>
          <cell r="B111" t="str">
            <v>Herramientas Auxiliares de Trabajo</v>
          </cell>
          <cell r="C111" t="str">
            <v>S</v>
          </cell>
        </row>
        <row r="112">
          <cell r="A112">
            <v>292000</v>
          </cell>
          <cell r="B112" t="str">
            <v>Refacciones y accesorios menores de edificios</v>
          </cell>
          <cell r="C112" t="str">
            <v>N</v>
          </cell>
        </row>
        <row r="113">
          <cell r="A113">
            <v>292001</v>
          </cell>
          <cell r="B113" t="str">
            <v>Refacciones y accesorios menores de edificios (candados, cerraduras, chapas, llaves)</v>
          </cell>
          <cell r="C113" t="str">
            <v>S</v>
          </cell>
        </row>
        <row r="114">
          <cell r="A114">
            <v>293000</v>
          </cell>
          <cell r="B114" t="str">
            <v>Refacciones y accesorios menores de mobiliario y equipo de administración, educacional y recreativo</v>
          </cell>
          <cell r="C114" t="str">
            <v>N</v>
          </cell>
        </row>
        <row r="115">
          <cell r="A115">
            <v>293001</v>
          </cell>
          <cell r="B115" t="str">
            <v>Refacciones y accesorios menores de mobiliario y equipo de administración, educacional y recreativo</v>
          </cell>
          <cell r="C115" t="str">
            <v>S</v>
          </cell>
        </row>
        <row r="116">
          <cell r="A116">
            <v>294000</v>
          </cell>
          <cell r="B116" t="str">
            <v>Refacciones y accesorios menores de equipo de cómputo y tecnologías de la información</v>
          </cell>
          <cell r="C116" t="str">
            <v>N</v>
          </cell>
        </row>
        <row r="117">
          <cell r="A117">
            <v>294001</v>
          </cell>
          <cell r="B117" t="str">
            <v>Dispositivos Internos y Externos de Equipo de Computo</v>
          </cell>
          <cell r="C117" t="str">
            <v>S</v>
          </cell>
        </row>
        <row r="118">
          <cell r="A118">
            <v>294002</v>
          </cell>
          <cell r="B118" t="str">
            <v>Refacciones y Accesorios Menores de Equipo de Computo</v>
          </cell>
          <cell r="C118" t="str">
            <v>S</v>
          </cell>
        </row>
        <row r="119">
          <cell r="A119">
            <v>295000</v>
          </cell>
          <cell r="B119" t="str">
            <v>Refacciones y accesorios menores de equipo e instrumental médico y de laboratorio</v>
          </cell>
          <cell r="C119" t="str">
            <v>N</v>
          </cell>
        </row>
        <row r="120">
          <cell r="A120">
            <v>295001</v>
          </cell>
          <cell r="B120" t="str">
            <v>Refacciones y accesorios menores de equipo e instrumental médico y de laboratorio</v>
          </cell>
          <cell r="C120" t="str">
            <v>S</v>
          </cell>
        </row>
        <row r="121">
          <cell r="A121">
            <v>296000</v>
          </cell>
          <cell r="B121" t="str">
            <v>Refacciones y accesorios menores de equipo de transporte</v>
          </cell>
          <cell r="C121" t="str">
            <v>N</v>
          </cell>
        </row>
        <row r="122">
          <cell r="A122">
            <v>296001</v>
          </cell>
          <cell r="B122" t="str">
            <v>Herramientas, refacciones y accesorios</v>
          </cell>
          <cell r="C122" t="str">
            <v>S</v>
          </cell>
        </row>
        <row r="123">
          <cell r="A123">
            <v>297000</v>
          </cell>
          <cell r="B123" t="str">
            <v>Refacciones y accesorios menores de equipo de defensa y seguridad</v>
          </cell>
          <cell r="C123" t="str">
            <v>N</v>
          </cell>
        </row>
        <row r="124">
          <cell r="A124">
            <v>297001</v>
          </cell>
          <cell r="B124" t="str">
            <v>Refacciones y accesorios menores de equipo de defensa y seguridad</v>
          </cell>
          <cell r="C124" t="str">
            <v>S</v>
          </cell>
        </row>
        <row r="125">
          <cell r="A125">
            <v>298000</v>
          </cell>
          <cell r="B125" t="str">
            <v>Refacciones y accesorios menores de maquinaria y otros equipos</v>
          </cell>
          <cell r="C125" t="str">
            <v>N</v>
          </cell>
        </row>
        <row r="126">
          <cell r="A126">
            <v>298001</v>
          </cell>
          <cell r="B126" t="str">
            <v>Refacciones y accesorios menores de maquinaria y otros equipos</v>
          </cell>
          <cell r="C126" t="str">
            <v>S</v>
          </cell>
        </row>
        <row r="127">
          <cell r="A127">
            <v>299000</v>
          </cell>
          <cell r="B127" t="str">
            <v>Refacciones y accesorios menores otros bienes muebles</v>
          </cell>
          <cell r="C127" t="str">
            <v>N</v>
          </cell>
        </row>
        <row r="128">
          <cell r="A128">
            <v>299001</v>
          </cell>
          <cell r="B128" t="str">
            <v>Refacciones y accesorios menores otros bienes muebles</v>
          </cell>
          <cell r="C128" t="str">
            <v>S</v>
          </cell>
        </row>
        <row r="129">
          <cell r="A129">
            <v>300000</v>
          </cell>
          <cell r="B129" t="str">
            <v>SERVICIOS GENERALES</v>
          </cell>
          <cell r="C129" t="str">
            <v>N</v>
          </cell>
        </row>
        <row r="130">
          <cell r="A130">
            <v>310000</v>
          </cell>
          <cell r="B130" t="str">
            <v>SERVICIOS BÁSICOS</v>
          </cell>
          <cell r="C130" t="str">
            <v>N</v>
          </cell>
        </row>
        <row r="131">
          <cell r="A131">
            <v>311000</v>
          </cell>
          <cell r="B131" t="str">
            <v>Energía eléctrica</v>
          </cell>
          <cell r="C131" t="str">
            <v>N</v>
          </cell>
        </row>
        <row r="132">
          <cell r="A132">
            <v>311001</v>
          </cell>
          <cell r="B132" t="str">
            <v>Servicio de energía eléctrica</v>
          </cell>
          <cell r="C132" t="str">
            <v>S</v>
          </cell>
        </row>
        <row r="133">
          <cell r="A133">
            <v>311002</v>
          </cell>
          <cell r="B133" t="str">
            <v>Contratación del servicio de energía eléctrica</v>
          </cell>
          <cell r="C133" t="str">
            <v>S</v>
          </cell>
        </row>
        <row r="134">
          <cell r="A134">
            <v>312000</v>
          </cell>
          <cell r="B134" t="str">
            <v>Gas</v>
          </cell>
          <cell r="C134" t="str">
            <v>N</v>
          </cell>
        </row>
        <row r="135">
          <cell r="A135">
            <v>312001</v>
          </cell>
          <cell r="B135" t="str">
            <v>Servicio de Gas L.P.</v>
          </cell>
          <cell r="C135" t="str">
            <v>S</v>
          </cell>
        </row>
        <row r="136">
          <cell r="A136">
            <v>313000</v>
          </cell>
          <cell r="B136" t="str">
            <v>Agua</v>
          </cell>
          <cell r="C136" t="str">
            <v>N</v>
          </cell>
        </row>
        <row r="137">
          <cell r="A137">
            <v>313001</v>
          </cell>
          <cell r="B137" t="str">
            <v>Servicio de agua potable</v>
          </cell>
          <cell r="C137" t="str">
            <v>S</v>
          </cell>
        </row>
        <row r="138">
          <cell r="A138">
            <v>313002</v>
          </cell>
          <cell r="B138" t="str">
            <v>Contratación del servicio de agua potable</v>
          </cell>
          <cell r="C138" t="str">
            <v>S</v>
          </cell>
        </row>
        <row r="139">
          <cell r="A139">
            <v>314000</v>
          </cell>
          <cell r="B139" t="str">
            <v>Telefonía tradicional</v>
          </cell>
          <cell r="C139" t="str">
            <v>N</v>
          </cell>
        </row>
        <row r="140">
          <cell r="A140">
            <v>314001</v>
          </cell>
          <cell r="B140" t="str">
            <v>Servicio telefónico</v>
          </cell>
          <cell r="C140" t="str">
            <v>S</v>
          </cell>
        </row>
        <row r="141">
          <cell r="A141">
            <v>315000</v>
          </cell>
          <cell r="B141" t="str">
            <v>Telefonía celular</v>
          </cell>
          <cell r="C141" t="str">
            <v>N</v>
          </cell>
        </row>
        <row r="142">
          <cell r="A142">
            <v>315001</v>
          </cell>
          <cell r="B142" t="str">
            <v>Telefonía celular</v>
          </cell>
          <cell r="C142" t="str">
            <v>S</v>
          </cell>
        </row>
        <row r="143">
          <cell r="A143">
            <v>316000</v>
          </cell>
          <cell r="B143" t="str">
            <v>Servicios de telecomunicaciones y satélites</v>
          </cell>
          <cell r="C143" t="str">
            <v>N</v>
          </cell>
        </row>
        <row r="144">
          <cell r="A144">
            <v>316001</v>
          </cell>
          <cell r="B144" t="str">
            <v>Servicios de telecomunicaciones y satélites</v>
          </cell>
          <cell r="C144" t="str">
            <v>S</v>
          </cell>
        </row>
        <row r="145">
          <cell r="A145">
            <v>317000</v>
          </cell>
          <cell r="B145" t="str">
            <v>Servicios de acceso de Internet, redes y procesamiento de información</v>
          </cell>
          <cell r="C145" t="str">
            <v>N</v>
          </cell>
        </row>
        <row r="146">
          <cell r="A146">
            <v>317001</v>
          </cell>
          <cell r="B146" t="str">
            <v>Servicios de acceso de Internet, redes y procesamiento de información</v>
          </cell>
          <cell r="C146" t="str">
            <v>S</v>
          </cell>
        </row>
        <row r="147">
          <cell r="A147">
            <v>318000</v>
          </cell>
          <cell r="B147" t="str">
            <v>Servicios postales y telegráficos</v>
          </cell>
          <cell r="C147" t="str">
            <v>N</v>
          </cell>
        </row>
        <row r="148">
          <cell r="A148">
            <v>318001</v>
          </cell>
          <cell r="B148" t="str">
            <v>Servicio postal y telegráfico</v>
          </cell>
          <cell r="C148" t="str">
            <v>S</v>
          </cell>
        </row>
        <row r="149">
          <cell r="A149">
            <v>319000</v>
          </cell>
          <cell r="B149" t="str">
            <v>Servicios integrales y otros servicios</v>
          </cell>
          <cell r="C149" t="str">
            <v>N</v>
          </cell>
        </row>
        <row r="150">
          <cell r="A150">
            <v>319001</v>
          </cell>
          <cell r="B150" t="str">
            <v>Servicios Integrales</v>
          </cell>
          <cell r="C150" t="str">
            <v>S</v>
          </cell>
        </row>
        <row r="151">
          <cell r="A151">
            <v>320000</v>
          </cell>
          <cell r="B151" t="str">
            <v>SERVICIOS DE ARRENDAMIENTO</v>
          </cell>
          <cell r="C151" t="str">
            <v>N</v>
          </cell>
        </row>
        <row r="152">
          <cell r="A152">
            <v>321000</v>
          </cell>
          <cell r="B152" t="str">
            <v>Arrendamiento de terrenos</v>
          </cell>
          <cell r="C152" t="str">
            <v>N</v>
          </cell>
        </row>
        <row r="153">
          <cell r="A153">
            <v>321001</v>
          </cell>
          <cell r="B153" t="str">
            <v>Arrendamiento de terrenos</v>
          </cell>
          <cell r="C153" t="str">
            <v>S</v>
          </cell>
        </row>
        <row r="154">
          <cell r="A154">
            <v>322000</v>
          </cell>
          <cell r="B154" t="str">
            <v>Arrendamiento de edificios</v>
          </cell>
          <cell r="C154" t="str">
            <v>N</v>
          </cell>
        </row>
        <row r="155">
          <cell r="A155">
            <v>322001</v>
          </cell>
          <cell r="B155" t="str">
            <v>Arrendamiento de edificios</v>
          </cell>
          <cell r="C155" t="str">
            <v>S</v>
          </cell>
        </row>
        <row r="156">
          <cell r="A156">
            <v>323000</v>
          </cell>
          <cell r="B156" t="str">
            <v>Arrendamiento de mobiliario y equipo de administración, educacional y recreativo</v>
          </cell>
          <cell r="C156" t="str">
            <v>N</v>
          </cell>
        </row>
        <row r="157">
          <cell r="A157">
            <v>323001</v>
          </cell>
          <cell r="B157" t="str">
            <v>Arrendamiento de maquinaria y equipo</v>
          </cell>
          <cell r="C157" t="str">
            <v>S</v>
          </cell>
        </row>
        <row r="158">
          <cell r="A158">
            <v>323002</v>
          </cell>
          <cell r="B158" t="str">
            <v>Arrendamiento de maquinaria y equipo de Administración</v>
          </cell>
          <cell r="C158" t="str">
            <v>S</v>
          </cell>
        </row>
        <row r="159">
          <cell r="A159">
            <v>323003</v>
          </cell>
          <cell r="B159" t="str">
            <v>Arrendamiento de Equipo Educacional y Recreativo</v>
          </cell>
          <cell r="C159" t="str">
            <v>S</v>
          </cell>
        </row>
        <row r="160">
          <cell r="A160">
            <v>323004</v>
          </cell>
          <cell r="B160" t="str">
            <v>Arrendamiento de Mobiliario y Equipo</v>
          </cell>
          <cell r="C160" t="str">
            <v>S</v>
          </cell>
        </row>
        <row r="161">
          <cell r="A161">
            <v>324000</v>
          </cell>
          <cell r="B161" t="str">
            <v>Arrendamiento de equipo e instrumental médico y de laboratorio</v>
          </cell>
          <cell r="C161" t="str">
            <v>N</v>
          </cell>
        </row>
        <row r="162">
          <cell r="A162">
            <v>324001</v>
          </cell>
          <cell r="B162" t="str">
            <v>Arrendamiento de equipo e instrumental médico y de laboratorio</v>
          </cell>
          <cell r="C162" t="str">
            <v>S</v>
          </cell>
        </row>
        <row r="163">
          <cell r="A163">
            <v>325000</v>
          </cell>
          <cell r="B163" t="str">
            <v>Arrendamiento de equipo de transporte</v>
          </cell>
          <cell r="C163" t="str">
            <v>N</v>
          </cell>
        </row>
        <row r="164">
          <cell r="A164">
            <v>325001</v>
          </cell>
          <cell r="B164" t="str">
            <v>Arrendamiento de equipo de transporte</v>
          </cell>
          <cell r="C164" t="str">
            <v>S</v>
          </cell>
        </row>
        <row r="165">
          <cell r="A165">
            <v>326000</v>
          </cell>
          <cell r="B165" t="str">
            <v>Arrendamiento de maquinaria, otros equipos y herramientas</v>
          </cell>
          <cell r="C165" t="str">
            <v>N</v>
          </cell>
        </row>
        <row r="166">
          <cell r="A166">
            <v>326001</v>
          </cell>
          <cell r="B166" t="str">
            <v>Arrendamiento de maquinaria, otros equipos y herramientas</v>
          </cell>
          <cell r="C166" t="str">
            <v>S</v>
          </cell>
        </row>
        <row r="167">
          <cell r="A167">
            <v>327000</v>
          </cell>
          <cell r="B167" t="str">
            <v>Arrendamiento de activos intangibles</v>
          </cell>
          <cell r="C167" t="str">
            <v>N</v>
          </cell>
        </row>
        <row r="168">
          <cell r="A168">
            <v>327001</v>
          </cell>
          <cell r="B168" t="str">
            <v>Arrendamiento de activos intangibles</v>
          </cell>
          <cell r="C168" t="str">
            <v>S</v>
          </cell>
        </row>
        <row r="169">
          <cell r="A169">
            <v>328000</v>
          </cell>
          <cell r="B169" t="str">
            <v>Arrendamiento financiero</v>
          </cell>
          <cell r="C169" t="str">
            <v>N</v>
          </cell>
        </row>
        <row r="170">
          <cell r="A170">
            <v>328001</v>
          </cell>
          <cell r="B170" t="str">
            <v>Arrendamiento financiero</v>
          </cell>
          <cell r="C170" t="str">
            <v>S</v>
          </cell>
        </row>
        <row r="171">
          <cell r="A171">
            <v>328002</v>
          </cell>
          <cell r="B171" t="str">
            <v>Programa Estatal de Arrendamiento Vehicular</v>
          </cell>
          <cell r="C171" t="str">
            <v>S</v>
          </cell>
        </row>
        <row r="172">
          <cell r="A172">
            <v>329000</v>
          </cell>
          <cell r="B172" t="str">
            <v>Otros arrendamientos</v>
          </cell>
          <cell r="C172" t="str">
            <v>N</v>
          </cell>
        </row>
        <row r="173">
          <cell r="A173">
            <v>329001</v>
          </cell>
          <cell r="B173" t="str">
            <v>Arrendamientos especiales</v>
          </cell>
          <cell r="C173" t="str">
            <v>S</v>
          </cell>
        </row>
        <row r="174">
          <cell r="A174">
            <v>330000</v>
          </cell>
          <cell r="B174" t="str">
            <v>SERVICIOS PROFESIONALES, CIENTÍFICOS, TÉCNICOS Y OTROS SERVICIOS</v>
          </cell>
          <cell r="C174" t="str">
            <v>N</v>
          </cell>
        </row>
        <row r="175">
          <cell r="A175">
            <v>331000</v>
          </cell>
          <cell r="B175" t="str">
            <v>Servicios legales, de contabilidad, auditoría y relacionados</v>
          </cell>
          <cell r="C175" t="str">
            <v>N</v>
          </cell>
        </row>
        <row r="176">
          <cell r="A176">
            <v>331001</v>
          </cell>
          <cell r="B176" t="str">
            <v>Asesorías</v>
          </cell>
          <cell r="C176" t="str">
            <v>S</v>
          </cell>
        </row>
        <row r="177">
          <cell r="A177">
            <v>331002</v>
          </cell>
          <cell r="B177" t="str">
            <v>Servicios Notariales</v>
          </cell>
          <cell r="C177" t="str">
            <v>S</v>
          </cell>
        </row>
        <row r="178">
          <cell r="A178">
            <v>331003</v>
          </cell>
          <cell r="B178" t="str">
            <v>Consultoría y Gestión</v>
          </cell>
          <cell r="C178" t="str">
            <v>S</v>
          </cell>
        </row>
        <row r="179">
          <cell r="A179">
            <v>332000</v>
          </cell>
          <cell r="B179" t="str">
            <v>Servicios de diseño, arquitectura, ingeniería y actividades relacionadas</v>
          </cell>
          <cell r="C179" t="str">
            <v>N</v>
          </cell>
        </row>
        <row r="180">
          <cell r="A180">
            <v>332001</v>
          </cell>
          <cell r="B180" t="str">
            <v>Servicios de diseño, arquitectura, ingeniería y actividades relacionadas</v>
          </cell>
          <cell r="C180" t="str">
            <v>S</v>
          </cell>
        </row>
        <row r="181">
          <cell r="A181">
            <v>333000</v>
          </cell>
          <cell r="B181" t="str">
            <v>Servicios de consultoría administrativa, procesos, técnica y en tecnologías de la información</v>
          </cell>
          <cell r="C181" t="str">
            <v>N</v>
          </cell>
        </row>
        <row r="182">
          <cell r="A182">
            <v>333001</v>
          </cell>
          <cell r="B182" t="str">
            <v>Estudios e investigaciones</v>
          </cell>
          <cell r="C182" t="str">
            <v>S</v>
          </cell>
        </row>
        <row r="183">
          <cell r="A183">
            <v>333002</v>
          </cell>
          <cell r="B183" t="str">
            <v>Sistematización de la Armonización Contable y Presupuestal</v>
          </cell>
          <cell r="C183" t="str">
            <v>S</v>
          </cell>
        </row>
        <row r="184">
          <cell r="A184">
            <v>333003</v>
          </cell>
          <cell r="B184" t="str">
            <v>Servicios de consultoría administrativa, procesos, técnica y en tecnologías de la información</v>
          </cell>
          <cell r="C184" t="str">
            <v>S</v>
          </cell>
        </row>
        <row r="185">
          <cell r="A185">
            <v>334000</v>
          </cell>
          <cell r="B185" t="str">
            <v>Servicios de capacitación</v>
          </cell>
          <cell r="C185" t="str">
            <v>N</v>
          </cell>
        </row>
        <row r="186">
          <cell r="A186">
            <v>334001</v>
          </cell>
          <cell r="B186" t="str">
            <v>Cuotas e inscripciones</v>
          </cell>
          <cell r="C186" t="str">
            <v>S</v>
          </cell>
        </row>
        <row r="187">
          <cell r="A187">
            <v>334002</v>
          </cell>
          <cell r="B187" t="str">
            <v>Servicios de Capacitación</v>
          </cell>
          <cell r="C187" t="str">
            <v>S</v>
          </cell>
        </row>
        <row r="188">
          <cell r="A188">
            <v>335000</v>
          </cell>
          <cell r="B188" t="str">
            <v>Servicios de investigación científica y desarrollo</v>
          </cell>
          <cell r="C188" t="str">
            <v>N</v>
          </cell>
        </row>
        <row r="189">
          <cell r="A189">
            <v>335001</v>
          </cell>
          <cell r="B189" t="str">
            <v>Servicios de investigación científica y desarrollo</v>
          </cell>
          <cell r="C189" t="str">
            <v>S</v>
          </cell>
        </row>
        <row r="190">
          <cell r="A190">
            <v>336000</v>
          </cell>
          <cell r="B190" t="str">
            <v>Servicios de apoyo administrativo, traducción, fotocopiado e impresión</v>
          </cell>
          <cell r="C190" t="str">
            <v>N</v>
          </cell>
        </row>
        <row r="191">
          <cell r="A191">
            <v>336001</v>
          </cell>
          <cell r="B191" t="str">
            <v>Servicio de Fotocopiado, Enmicado y Encuadernación de Documentos.</v>
          </cell>
          <cell r="C191" t="str">
            <v>S</v>
          </cell>
        </row>
        <row r="192">
          <cell r="A192">
            <v>336002</v>
          </cell>
          <cell r="B192" t="str">
            <v>Servicio de Impresión y Elaboración de Material Informativo</v>
          </cell>
          <cell r="C192" t="str">
            <v>S</v>
          </cell>
        </row>
        <row r="193">
          <cell r="A193">
            <v>337000</v>
          </cell>
          <cell r="B193" t="str">
            <v>Servicios de protección y seguridad</v>
          </cell>
          <cell r="C193" t="str">
            <v>N</v>
          </cell>
        </row>
        <row r="194">
          <cell r="A194">
            <v>337001</v>
          </cell>
          <cell r="B194" t="str">
            <v>Dispositivo de seguridad pública</v>
          </cell>
          <cell r="C194" t="str">
            <v>S</v>
          </cell>
        </row>
        <row r="195">
          <cell r="A195">
            <v>338000</v>
          </cell>
          <cell r="B195" t="str">
            <v>Servicios de vigilancia</v>
          </cell>
          <cell r="C195" t="str">
            <v>N</v>
          </cell>
        </row>
        <row r="196">
          <cell r="A196">
            <v>338001</v>
          </cell>
          <cell r="B196" t="str">
            <v>Servicio de seguridad privada</v>
          </cell>
          <cell r="C196" t="str">
            <v>S</v>
          </cell>
        </row>
        <row r="197">
          <cell r="A197">
            <v>339000</v>
          </cell>
          <cell r="B197" t="str">
            <v>Servicios profesionales, científicos y técnicos integrales</v>
          </cell>
          <cell r="C197" t="str">
            <v>N</v>
          </cell>
        </row>
        <row r="198">
          <cell r="A198">
            <v>339001</v>
          </cell>
          <cell r="B198" t="str">
            <v>Servicios profesionales, científicos y técnicos integrales</v>
          </cell>
          <cell r="C198" t="str">
            <v>S</v>
          </cell>
        </row>
        <row r="199">
          <cell r="A199">
            <v>340000</v>
          </cell>
          <cell r="B199" t="str">
            <v>SERVICIOS FINANCIEROS, BANCARIOS Y COMERCIALES</v>
          </cell>
          <cell r="C199" t="str">
            <v>N</v>
          </cell>
        </row>
        <row r="200">
          <cell r="A200">
            <v>341000</v>
          </cell>
          <cell r="B200" t="str">
            <v>Servicios financieros y bancarios</v>
          </cell>
          <cell r="C200" t="str">
            <v>N</v>
          </cell>
        </row>
        <row r="201">
          <cell r="A201">
            <v>341001</v>
          </cell>
          <cell r="B201" t="str">
            <v>Comisiones, descuentos y otros servicios bancarios</v>
          </cell>
          <cell r="C201" t="str">
            <v>S</v>
          </cell>
        </row>
        <row r="202">
          <cell r="A202">
            <v>342000</v>
          </cell>
          <cell r="B202" t="str">
            <v>Servicios de cobranza, investigación crediticia y similar</v>
          </cell>
          <cell r="C202" t="str">
            <v>N</v>
          </cell>
        </row>
        <row r="203">
          <cell r="A203">
            <v>342001</v>
          </cell>
          <cell r="B203" t="str">
            <v>Servicios de cobranza, investigación crediticia y similar</v>
          </cell>
          <cell r="C203" t="str">
            <v>S</v>
          </cell>
        </row>
        <row r="204">
          <cell r="A204">
            <v>343000</v>
          </cell>
          <cell r="B204" t="str">
            <v>Servicios de recaudación, traslado y custodia de valores</v>
          </cell>
          <cell r="C204" t="str">
            <v>N</v>
          </cell>
        </row>
        <row r="205">
          <cell r="A205">
            <v>343001</v>
          </cell>
          <cell r="B205" t="str">
            <v>Servicios de recaudación, traslado y custodia de valores</v>
          </cell>
          <cell r="C205" t="str">
            <v>S</v>
          </cell>
        </row>
        <row r="206">
          <cell r="A206">
            <v>344000</v>
          </cell>
          <cell r="B206" t="str">
            <v>Seguros de responsabilidad patrimonial y fianzas</v>
          </cell>
          <cell r="C206" t="str">
            <v>N</v>
          </cell>
        </row>
        <row r="207">
          <cell r="A207">
            <v>344001</v>
          </cell>
          <cell r="B207" t="str">
            <v>Seguros de responsabilidad patrimonial y fianzas</v>
          </cell>
          <cell r="C207" t="str">
            <v>S</v>
          </cell>
        </row>
        <row r="208">
          <cell r="A208">
            <v>345000</v>
          </cell>
          <cell r="B208" t="str">
            <v>Seguro de bienes patrimoniales</v>
          </cell>
          <cell r="C208" t="str">
            <v>N</v>
          </cell>
        </row>
        <row r="209">
          <cell r="A209">
            <v>345001</v>
          </cell>
          <cell r="B209" t="str">
            <v>Seguros</v>
          </cell>
          <cell r="C209" t="str">
            <v>S</v>
          </cell>
        </row>
        <row r="210">
          <cell r="A210">
            <v>346000</v>
          </cell>
          <cell r="B210" t="str">
            <v>Almacenaje, envase y embalaje</v>
          </cell>
          <cell r="C210" t="str">
            <v>N</v>
          </cell>
        </row>
        <row r="211">
          <cell r="A211">
            <v>346001</v>
          </cell>
          <cell r="B211" t="str">
            <v>Almacenaje, envase y embalaje</v>
          </cell>
          <cell r="C211" t="str">
            <v>S</v>
          </cell>
        </row>
        <row r="212">
          <cell r="A212">
            <v>347000</v>
          </cell>
          <cell r="B212" t="str">
            <v>Fletes y maniobras</v>
          </cell>
          <cell r="C212" t="str">
            <v>N</v>
          </cell>
        </row>
        <row r="213">
          <cell r="A213">
            <v>347001</v>
          </cell>
          <cell r="B213" t="str">
            <v>Fletes, maniobras y almacenaje</v>
          </cell>
          <cell r="C213" t="str">
            <v>S</v>
          </cell>
        </row>
        <row r="214">
          <cell r="A214">
            <v>348000</v>
          </cell>
          <cell r="B214" t="str">
            <v>Comisiones por ventas</v>
          </cell>
          <cell r="C214" t="str">
            <v>N</v>
          </cell>
        </row>
        <row r="215">
          <cell r="A215">
            <v>348001</v>
          </cell>
          <cell r="B215" t="str">
            <v>Comisiones por ventas</v>
          </cell>
          <cell r="C215" t="str">
            <v>S</v>
          </cell>
        </row>
        <row r="216">
          <cell r="A216">
            <v>349000</v>
          </cell>
          <cell r="B216" t="str">
            <v>Servicios financieros, bancarios y comerciales integrales</v>
          </cell>
          <cell r="C216" t="str">
            <v>N</v>
          </cell>
        </row>
        <row r="217">
          <cell r="A217">
            <v>349001</v>
          </cell>
          <cell r="B217" t="str">
            <v>Servicios financieros, bancarios y comerciales integrales</v>
          </cell>
          <cell r="C217" t="str">
            <v>S</v>
          </cell>
        </row>
        <row r="218">
          <cell r="A218">
            <v>350000</v>
          </cell>
          <cell r="B218" t="str">
            <v>SERVICIOS DE INSTALACIÓN, REPARACIÓN, MANTENIMIENTO Y CONSERVACIÓN</v>
          </cell>
          <cell r="C218" t="str">
            <v>N</v>
          </cell>
        </row>
        <row r="219">
          <cell r="A219">
            <v>351000</v>
          </cell>
          <cell r="B219" t="str">
            <v>Conservación y mantenimiento menor de inmuebles</v>
          </cell>
          <cell r="C219" t="str">
            <v>N</v>
          </cell>
        </row>
        <row r="220">
          <cell r="A220">
            <v>351001</v>
          </cell>
          <cell r="B220" t="str">
            <v>Mantenimiento de inmuebles</v>
          </cell>
          <cell r="C220" t="str">
            <v>S</v>
          </cell>
        </row>
        <row r="221">
          <cell r="A221">
            <v>351002</v>
          </cell>
          <cell r="B221" t="str">
            <v>Fumigación de Inmuebles</v>
          </cell>
          <cell r="C221" t="str">
            <v>S</v>
          </cell>
        </row>
        <row r="222">
          <cell r="A222">
            <v>351003</v>
          </cell>
          <cell r="B222" t="str">
            <v>Mantto. y Conserv. de Inmuebles Sub Proc. Zona Norte</v>
          </cell>
          <cell r="C222" t="str">
            <v>S</v>
          </cell>
        </row>
        <row r="223">
          <cell r="A223">
            <v>352000</v>
          </cell>
          <cell r="B223" t="str">
            <v>Instalación, reparación y mantenimiento de mobiliario y equipo de administración, educacional y recreativo</v>
          </cell>
          <cell r="C223" t="str">
            <v>N</v>
          </cell>
        </row>
        <row r="224">
          <cell r="A224">
            <v>352001</v>
          </cell>
          <cell r="B224" t="str">
            <v>Mantenimiento de mobiliario y equipo</v>
          </cell>
          <cell r="C224" t="str">
            <v>S</v>
          </cell>
        </row>
        <row r="225">
          <cell r="A225">
            <v>352002</v>
          </cell>
          <cell r="B225" t="str">
            <v>Gastos de instalación</v>
          </cell>
          <cell r="C225" t="str">
            <v>S</v>
          </cell>
        </row>
        <row r="226">
          <cell r="A226">
            <v>352003</v>
          </cell>
          <cell r="B226" t="str">
            <v>Mantto. y Conservación Archivo General de Notarias del Gob. del Edo.</v>
          </cell>
          <cell r="C226" t="str">
            <v>S</v>
          </cell>
        </row>
        <row r="227">
          <cell r="A227">
            <v>353000</v>
          </cell>
          <cell r="B227" t="str">
            <v>Instalación, reparación y mantenimiento de equipo de cómputo y tecnología de la información</v>
          </cell>
          <cell r="C227" t="str">
            <v>N</v>
          </cell>
        </row>
        <row r="228">
          <cell r="A228">
            <v>353001</v>
          </cell>
          <cell r="B228" t="str">
            <v>Instalación, reparación y mantenimiento de equipo de cómputo y tecnología  de la información</v>
          </cell>
          <cell r="C228" t="str">
            <v>S</v>
          </cell>
        </row>
        <row r="229">
          <cell r="A229">
            <v>354000</v>
          </cell>
          <cell r="B229" t="str">
            <v>Instalación, reparación y mantenimiento de equipo e instrumental médico y de laboratorio</v>
          </cell>
          <cell r="C229" t="str">
            <v>N</v>
          </cell>
        </row>
        <row r="230">
          <cell r="A230">
            <v>354001</v>
          </cell>
          <cell r="B230" t="str">
            <v>Instalación, reparación y mantenimiento de equipo e instrumental médico y de laboratorio</v>
          </cell>
          <cell r="C230" t="str">
            <v>S</v>
          </cell>
        </row>
        <row r="231">
          <cell r="A231">
            <v>355000</v>
          </cell>
          <cell r="B231" t="str">
            <v>Reparación y mantenimiento de equipo de transporte</v>
          </cell>
          <cell r="C231" t="str">
            <v>N</v>
          </cell>
        </row>
        <row r="232">
          <cell r="A232">
            <v>355001</v>
          </cell>
          <cell r="B232" t="str">
            <v>Mantto. y conservación de vehículos terrestres, aéreos, marítimos, lacustres y fluviales</v>
          </cell>
          <cell r="C232" t="str">
            <v>S</v>
          </cell>
        </row>
        <row r="233">
          <cell r="A233">
            <v>356000</v>
          </cell>
          <cell r="B233" t="str">
            <v>Reparación y mantenimiento de equipo de defensa y seguridad</v>
          </cell>
          <cell r="C233" t="str">
            <v>N</v>
          </cell>
        </row>
        <row r="234">
          <cell r="A234">
            <v>356001</v>
          </cell>
          <cell r="B234" t="str">
            <v>Reparación y mantenimiento de equipo de defensa y seguridad</v>
          </cell>
          <cell r="C234" t="str">
            <v>S</v>
          </cell>
        </row>
        <row r="235">
          <cell r="A235">
            <v>357000</v>
          </cell>
          <cell r="B235" t="str">
            <v>Instalación, reparación y mantenimiento de maquinaria, otros equipos y herramienta</v>
          </cell>
          <cell r="C235" t="str">
            <v>N</v>
          </cell>
        </row>
        <row r="236">
          <cell r="A236">
            <v>357001</v>
          </cell>
          <cell r="B236" t="str">
            <v>Instalación, reparación y mantenimiento de Equipo de Telecomunicaciones</v>
          </cell>
          <cell r="C236" t="str">
            <v>S</v>
          </cell>
        </row>
        <row r="237">
          <cell r="A237">
            <v>357002</v>
          </cell>
          <cell r="B237" t="str">
            <v>Instalación, reparación y mantenimiento de maquinaria, otros equipos y herramienta</v>
          </cell>
          <cell r="C237" t="str">
            <v>S</v>
          </cell>
        </row>
        <row r="238">
          <cell r="A238">
            <v>358000</v>
          </cell>
          <cell r="B238" t="str">
            <v>Servicios de limpieza y manejo de desechos</v>
          </cell>
          <cell r="C238" t="str">
            <v>N</v>
          </cell>
        </row>
        <row r="239">
          <cell r="A239">
            <v>358001</v>
          </cell>
          <cell r="B239" t="str">
            <v>Servicios de higiene y limpieza</v>
          </cell>
          <cell r="C239" t="str">
            <v>S</v>
          </cell>
        </row>
        <row r="240">
          <cell r="A240">
            <v>358002</v>
          </cell>
          <cell r="B240" t="str">
            <v>Servicios de Limpieza y Lavado de Vehículos</v>
          </cell>
          <cell r="C240" t="str">
            <v>S</v>
          </cell>
        </row>
        <row r="241">
          <cell r="A241">
            <v>358003</v>
          </cell>
          <cell r="B241" t="str">
            <v>Servicios de Lavandería</v>
          </cell>
          <cell r="C241" t="str">
            <v>S</v>
          </cell>
        </row>
        <row r="242">
          <cell r="A242">
            <v>359000</v>
          </cell>
          <cell r="B242" t="str">
            <v>Servicios de jardinería y fumigación</v>
          </cell>
          <cell r="C242" t="str">
            <v>N</v>
          </cell>
        </row>
        <row r="243">
          <cell r="A243">
            <v>359001</v>
          </cell>
          <cell r="B243" t="str">
            <v>Árboles, plantas, semillas y abonos</v>
          </cell>
          <cell r="C243" t="str">
            <v>S</v>
          </cell>
        </row>
        <row r="244">
          <cell r="A244">
            <v>359002</v>
          </cell>
          <cell r="B244" t="str">
            <v>Fumigación de áreas verdes</v>
          </cell>
          <cell r="C244" t="str">
            <v>S</v>
          </cell>
        </row>
        <row r="245">
          <cell r="A245">
            <v>360000</v>
          </cell>
          <cell r="B245" t="str">
            <v>SERVICIOS DE COMUNICACIÓN SOCIAL Y PUBLICIDAD</v>
          </cell>
          <cell r="C245" t="str">
            <v>N</v>
          </cell>
        </row>
        <row r="246">
          <cell r="A246">
            <v>361000</v>
          </cell>
          <cell r="B246" t="str">
            <v>Difusión por radio, televisión y otros medios de mensajes sobre programas y actividades gubernamentales</v>
          </cell>
          <cell r="C246" t="str">
            <v>N</v>
          </cell>
        </row>
        <row r="247">
          <cell r="A247">
            <v>361001</v>
          </cell>
          <cell r="B247" t="str">
            <v>Gastos de difusión</v>
          </cell>
          <cell r="C247" t="str">
            <v>S</v>
          </cell>
        </row>
        <row r="248">
          <cell r="A248">
            <v>361002</v>
          </cell>
          <cell r="B248" t="str">
            <v>Impresiones y publicaciones oficiales</v>
          </cell>
          <cell r="C248" t="str">
            <v>S</v>
          </cell>
        </row>
        <row r="249">
          <cell r="A249">
            <v>361003</v>
          </cell>
          <cell r="B249" t="str">
            <v>Rotulaciones oficiales</v>
          </cell>
          <cell r="C249" t="str">
            <v>S</v>
          </cell>
        </row>
        <row r="250">
          <cell r="A250">
            <v>361004</v>
          </cell>
          <cell r="B250" t="str">
            <v>Publicación de convocatorias</v>
          </cell>
          <cell r="C250" t="str">
            <v>S</v>
          </cell>
        </row>
        <row r="251">
          <cell r="A251">
            <v>362000</v>
          </cell>
          <cell r="B251" t="str">
            <v>Difusión por radio, televisión y otros medios de mensajes comerciales para promover la venta de bienes o servicios</v>
          </cell>
          <cell r="C251" t="str">
            <v>N</v>
          </cell>
        </row>
        <row r="252">
          <cell r="A252">
            <v>362001</v>
          </cell>
          <cell r="B252" t="str">
            <v>Difusión por radio, televisión y otros medios de mensajes comerciales para promover la venta de bienes o servicios</v>
          </cell>
          <cell r="C252" t="str">
            <v>S</v>
          </cell>
        </row>
        <row r="253">
          <cell r="A253">
            <v>362002</v>
          </cell>
          <cell r="B253" t="str">
            <v>Difusión por radio, televisión y otros medios de mensajes comerciales para promover la venta de bienes o servicios, fuera del país</v>
          </cell>
          <cell r="C253" t="str">
            <v>S</v>
          </cell>
        </row>
        <row r="254">
          <cell r="A254">
            <v>363000</v>
          </cell>
          <cell r="B254" t="str">
            <v>Servicios de creatividad, preproducción y producción de publicidad, excepto Internet</v>
          </cell>
          <cell r="C254" t="str">
            <v>N</v>
          </cell>
        </row>
        <row r="255">
          <cell r="A255">
            <v>363001</v>
          </cell>
          <cell r="B255" t="str">
            <v>Servicios de Producción y Diseño Publicitario</v>
          </cell>
          <cell r="C255" t="str">
            <v>S</v>
          </cell>
        </row>
        <row r="256">
          <cell r="A256">
            <v>364000</v>
          </cell>
          <cell r="B256" t="str">
            <v>Servicios de revelado de fotografías</v>
          </cell>
          <cell r="C256" t="str">
            <v>N</v>
          </cell>
        </row>
        <row r="257">
          <cell r="A257">
            <v>364001</v>
          </cell>
          <cell r="B257" t="str">
            <v>Revelado de Fotografías</v>
          </cell>
          <cell r="C257" t="str">
            <v>S</v>
          </cell>
        </row>
        <row r="258">
          <cell r="A258">
            <v>365000</v>
          </cell>
          <cell r="B258" t="str">
            <v>Servicios de la industria fílmica, del sonido y del video</v>
          </cell>
          <cell r="C258" t="str">
            <v>N</v>
          </cell>
        </row>
        <row r="259">
          <cell r="A259">
            <v>365001</v>
          </cell>
          <cell r="B259" t="str">
            <v>Servicios de la industria fílmica, del sonido y del video</v>
          </cell>
          <cell r="C259" t="str">
            <v>S</v>
          </cell>
        </row>
        <row r="260">
          <cell r="A260">
            <v>366000</v>
          </cell>
          <cell r="B260" t="str">
            <v>Servicio de creación y difusión de contenido exclusivamente a través de Internet</v>
          </cell>
          <cell r="C260" t="str">
            <v>N</v>
          </cell>
        </row>
        <row r="261">
          <cell r="A261">
            <v>366001</v>
          </cell>
          <cell r="B261" t="str">
            <v>Gastos de difusión a través de internet</v>
          </cell>
          <cell r="C261" t="str">
            <v>S</v>
          </cell>
        </row>
        <row r="262">
          <cell r="A262">
            <v>369000</v>
          </cell>
          <cell r="B262" t="str">
            <v>Otros servicios de información</v>
          </cell>
          <cell r="C262" t="str">
            <v>N</v>
          </cell>
        </row>
        <row r="263">
          <cell r="A263">
            <v>369001</v>
          </cell>
          <cell r="B263" t="str">
            <v>Monitoreo de Información y Encuestas</v>
          </cell>
          <cell r="C263" t="str">
            <v>S</v>
          </cell>
        </row>
        <row r="264">
          <cell r="A264">
            <v>370000</v>
          </cell>
          <cell r="B264" t="str">
            <v>SERVICIOS DE TRASLADO Y VIÁTICOS</v>
          </cell>
          <cell r="C264" t="str">
            <v>N</v>
          </cell>
        </row>
        <row r="265">
          <cell r="A265">
            <v>371000</v>
          </cell>
          <cell r="B265" t="str">
            <v>Pasajes aéreos</v>
          </cell>
          <cell r="C265" t="str">
            <v>N</v>
          </cell>
        </row>
        <row r="266">
          <cell r="A266">
            <v>371001</v>
          </cell>
          <cell r="B266" t="str">
            <v>Pasajes aéreos</v>
          </cell>
          <cell r="C266" t="str">
            <v>S</v>
          </cell>
        </row>
        <row r="267">
          <cell r="A267">
            <v>372000</v>
          </cell>
          <cell r="B267" t="str">
            <v>Pasajes terrestres</v>
          </cell>
          <cell r="C267" t="str">
            <v>N</v>
          </cell>
        </row>
        <row r="268">
          <cell r="A268">
            <v>372001</v>
          </cell>
          <cell r="B268" t="str">
            <v>Pasajes terrestres</v>
          </cell>
          <cell r="C268" t="str">
            <v>S</v>
          </cell>
        </row>
        <row r="269">
          <cell r="A269">
            <v>373000</v>
          </cell>
          <cell r="B269" t="str">
            <v>Pasajes marítimos, lacustres y fluviales</v>
          </cell>
          <cell r="C269" t="str">
            <v>N</v>
          </cell>
        </row>
        <row r="270">
          <cell r="A270">
            <v>373001</v>
          </cell>
          <cell r="B270" t="str">
            <v>Pasajes marítimos</v>
          </cell>
          <cell r="C270" t="str">
            <v>S</v>
          </cell>
        </row>
        <row r="271">
          <cell r="A271">
            <v>374000</v>
          </cell>
          <cell r="B271" t="str">
            <v>Autotransporte</v>
          </cell>
          <cell r="C271" t="str">
            <v>N</v>
          </cell>
        </row>
        <row r="272">
          <cell r="A272">
            <v>374001</v>
          </cell>
          <cell r="B272" t="str">
            <v>Autotransporte</v>
          </cell>
          <cell r="C272" t="str">
            <v>S</v>
          </cell>
        </row>
        <row r="273">
          <cell r="A273">
            <v>375000</v>
          </cell>
          <cell r="B273" t="str">
            <v>Viáticos en el país</v>
          </cell>
          <cell r="C273" t="str">
            <v>N</v>
          </cell>
        </row>
        <row r="274">
          <cell r="A274">
            <v>375001</v>
          </cell>
          <cell r="B274" t="str">
            <v>Viáticos</v>
          </cell>
          <cell r="C274" t="str">
            <v>S</v>
          </cell>
        </row>
        <row r="275">
          <cell r="A275">
            <v>376000</v>
          </cell>
          <cell r="B275" t="str">
            <v>Viáticos en el extranjero</v>
          </cell>
          <cell r="C275" t="str">
            <v>N</v>
          </cell>
        </row>
        <row r="276">
          <cell r="A276">
            <v>376001</v>
          </cell>
          <cell r="B276" t="str">
            <v>Viáticos en el extranjero</v>
          </cell>
          <cell r="C276" t="str">
            <v>S</v>
          </cell>
        </row>
        <row r="277">
          <cell r="A277">
            <v>377000</v>
          </cell>
          <cell r="B277" t="str">
            <v>Gastos de instalación y traslado de menaje</v>
          </cell>
          <cell r="C277" t="str">
            <v>N</v>
          </cell>
        </row>
        <row r="278">
          <cell r="A278">
            <v>377001</v>
          </cell>
          <cell r="B278" t="str">
            <v>Gastos de instalación y traslado de menaje</v>
          </cell>
          <cell r="C278" t="str">
            <v>S</v>
          </cell>
        </row>
        <row r="279">
          <cell r="A279">
            <v>378000</v>
          </cell>
          <cell r="B279" t="str">
            <v>Servicios integrales de traslado y viáticos</v>
          </cell>
          <cell r="C279" t="str">
            <v>N</v>
          </cell>
        </row>
        <row r="280">
          <cell r="A280">
            <v>378001</v>
          </cell>
          <cell r="B280" t="str">
            <v>Diligencias judiciales</v>
          </cell>
          <cell r="C280" t="str">
            <v>S</v>
          </cell>
        </row>
        <row r="281">
          <cell r="A281">
            <v>379000</v>
          </cell>
          <cell r="B281" t="str">
            <v>Otros servicios de traslado y hospedaje</v>
          </cell>
          <cell r="C281" t="str">
            <v>N</v>
          </cell>
        </row>
        <row r="282">
          <cell r="A282">
            <v>379001</v>
          </cell>
          <cell r="B282" t="str">
            <v>Traslado de vehículos</v>
          </cell>
          <cell r="C282" t="str">
            <v>S</v>
          </cell>
        </row>
        <row r="283">
          <cell r="A283">
            <v>379002</v>
          </cell>
          <cell r="B283" t="str">
            <v>Gastos de traslado de personas</v>
          </cell>
          <cell r="C283" t="str">
            <v>S</v>
          </cell>
        </row>
        <row r="284">
          <cell r="A284">
            <v>379003</v>
          </cell>
          <cell r="B284" t="str">
            <v>Hospedaje de personas</v>
          </cell>
          <cell r="C284" t="str">
            <v>S</v>
          </cell>
        </row>
        <row r="285">
          <cell r="A285">
            <v>380000</v>
          </cell>
          <cell r="B285" t="str">
            <v>SERVICIOS OFICIALES</v>
          </cell>
          <cell r="C285" t="str">
            <v>N</v>
          </cell>
        </row>
        <row r="286">
          <cell r="A286">
            <v>381000</v>
          </cell>
          <cell r="B286" t="str">
            <v>Gastos de ceremonial</v>
          </cell>
          <cell r="C286" t="str">
            <v>N</v>
          </cell>
        </row>
        <row r="287">
          <cell r="A287">
            <v>381001</v>
          </cell>
          <cell r="B287" t="str">
            <v>Atención a personalidades nacionales y extranjeras</v>
          </cell>
          <cell r="C287" t="str">
            <v>S</v>
          </cell>
        </row>
        <row r="288">
          <cell r="A288">
            <v>382000</v>
          </cell>
          <cell r="B288" t="str">
            <v>Gastos de orden social y cultural</v>
          </cell>
          <cell r="C288" t="str">
            <v>N</v>
          </cell>
        </row>
        <row r="289">
          <cell r="A289">
            <v>382001</v>
          </cell>
          <cell r="B289" t="str">
            <v>Espectáculos y actividades culturales</v>
          </cell>
          <cell r="C289" t="str">
            <v>S</v>
          </cell>
        </row>
        <row r="290">
          <cell r="A290">
            <v>382002</v>
          </cell>
          <cell r="B290" t="str">
            <v>Gastos de recepción, conmemorativos y de orden social</v>
          </cell>
          <cell r="C290" t="str">
            <v>S</v>
          </cell>
        </row>
        <row r="291">
          <cell r="A291">
            <v>382003</v>
          </cell>
          <cell r="B291" t="str">
            <v>Adaptaciones para eventos sociales y culturales</v>
          </cell>
          <cell r="C291" t="str">
            <v>S</v>
          </cell>
        </row>
        <row r="292">
          <cell r="A292">
            <v>382004</v>
          </cell>
          <cell r="B292" t="str">
            <v>Festividades y Eventos</v>
          </cell>
          <cell r="C292" t="str">
            <v>S</v>
          </cell>
        </row>
        <row r="293">
          <cell r="A293">
            <v>383000</v>
          </cell>
          <cell r="B293" t="str">
            <v>Congresos y convenciones</v>
          </cell>
          <cell r="C293" t="str">
            <v>N</v>
          </cell>
        </row>
        <row r="294">
          <cell r="A294">
            <v>383001</v>
          </cell>
          <cell r="B294" t="str">
            <v>Congresos y convenciones</v>
          </cell>
          <cell r="C294" t="str">
            <v>S</v>
          </cell>
        </row>
        <row r="295">
          <cell r="A295">
            <v>384000</v>
          </cell>
          <cell r="B295" t="str">
            <v>Exposiciones</v>
          </cell>
          <cell r="C295" t="str">
            <v>N</v>
          </cell>
        </row>
        <row r="296">
          <cell r="A296">
            <v>384001</v>
          </cell>
          <cell r="B296" t="str">
            <v>Exposiciones</v>
          </cell>
          <cell r="C296" t="str">
            <v>S</v>
          </cell>
        </row>
        <row r="297">
          <cell r="A297">
            <v>385000</v>
          </cell>
          <cell r="B297" t="str">
            <v>Gastos de representación</v>
          </cell>
          <cell r="C297" t="str">
            <v>N</v>
          </cell>
        </row>
        <row r="298">
          <cell r="A298">
            <v>385001</v>
          </cell>
          <cell r="B298" t="str">
            <v>Gastos de representación</v>
          </cell>
          <cell r="C298" t="str">
            <v>S</v>
          </cell>
        </row>
        <row r="299">
          <cell r="A299">
            <v>390000</v>
          </cell>
          <cell r="B299" t="str">
            <v>OTROS SERVICIOS GENERALES</v>
          </cell>
          <cell r="C299" t="str">
            <v>N</v>
          </cell>
        </row>
        <row r="300">
          <cell r="A300">
            <v>391000</v>
          </cell>
          <cell r="B300" t="str">
            <v>Servicios funerarios y de cementerios</v>
          </cell>
          <cell r="C300" t="str">
            <v>N</v>
          </cell>
        </row>
        <row r="301">
          <cell r="A301">
            <v>391001</v>
          </cell>
          <cell r="B301" t="str">
            <v>Servicios funerarios y de cementerios</v>
          </cell>
          <cell r="C301" t="str">
            <v>S</v>
          </cell>
        </row>
        <row r="302">
          <cell r="A302">
            <v>392000</v>
          </cell>
          <cell r="B302" t="str">
            <v>Impuestos y derechos</v>
          </cell>
          <cell r="C302" t="str">
            <v>N</v>
          </cell>
        </row>
        <row r="303">
          <cell r="A303">
            <v>392001</v>
          </cell>
          <cell r="B303" t="str">
            <v>Impuestos y derechos</v>
          </cell>
          <cell r="C303" t="str">
            <v>S</v>
          </cell>
        </row>
        <row r="304">
          <cell r="A304">
            <v>393000</v>
          </cell>
          <cell r="B304" t="str">
            <v>Impuestos y derechos de importación</v>
          </cell>
          <cell r="C304" t="str">
            <v>N</v>
          </cell>
        </row>
        <row r="305">
          <cell r="A305">
            <v>393001</v>
          </cell>
          <cell r="B305" t="str">
            <v>Impuestos y derechos de importación</v>
          </cell>
          <cell r="C305" t="str">
            <v>S</v>
          </cell>
        </row>
        <row r="306">
          <cell r="A306">
            <v>394000</v>
          </cell>
          <cell r="B306" t="str">
            <v>Sentencias y resoluciones judiciales</v>
          </cell>
          <cell r="C306" t="str">
            <v>N</v>
          </cell>
        </row>
        <row r="307">
          <cell r="A307">
            <v>394001</v>
          </cell>
          <cell r="B307" t="str">
            <v>Sentencias y resoluciones judiciales</v>
          </cell>
          <cell r="C307" t="str">
            <v>S</v>
          </cell>
        </row>
        <row r="308">
          <cell r="A308">
            <v>395000</v>
          </cell>
          <cell r="B308" t="str">
            <v>Penas, multas, accesorios y actualizaciones</v>
          </cell>
          <cell r="C308" t="str">
            <v>N</v>
          </cell>
        </row>
        <row r="309">
          <cell r="A309">
            <v>395001</v>
          </cell>
          <cell r="B309" t="str">
            <v>Penas, multas, accesorios y actualizaciones</v>
          </cell>
          <cell r="C309" t="str">
            <v>S</v>
          </cell>
        </row>
        <row r="310">
          <cell r="A310">
            <v>396000</v>
          </cell>
          <cell r="B310" t="str">
            <v>Otros gastos por responsabilidades</v>
          </cell>
          <cell r="C310" t="str">
            <v>N</v>
          </cell>
        </row>
        <row r="311">
          <cell r="A311">
            <v>396001</v>
          </cell>
          <cell r="B311" t="str">
            <v>Otros gastos por responsabilidades</v>
          </cell>
          <cell r="C311" t="str">
            <v>S</v>
          </cell>
        </row>
        <row r="312">
          <cell r="A312">
            <v>399000</v>
          </cell>
          <cell r="B312" t="str">
            <v>Otros servicios generales</v>
          </cell>
          <cell r="C312" t="str">
            <v>N</v>
          </cell>
        </row>
        <row r="313">
          <cell r="A313">
            <v>399001</v>
          </cell>
          <cell r="B313" t="str">
            <v>Gastos menores</v>
          </cell>
          <cell r="C313" t="str">
            <v>S</v>
          </cell>
        </row>
        <row r="314">
          <cell r="A314">
            <v>399002</v>
          </cell>
          <cell r="B314" t="str">
            <v>Retribuciones a reos</v>
          </cell>
          <cell r="C314" t="str">
            <v>S</v>
          </cell>
        </row>
        <row r="315">
          <cell r="A315">
            <v>399003</v>
          </cell>
          <cell r="B315" t="str">
            <v>Otros servicios de la administración pública</v>
          </cell>
          <cell r="C315" t="str">
            <v>S</v>
          </cell>
        </row>
        <row r="316">
          <cell r="A316">
            <v>399004</v>
          </cell>
          <cell r="B316" t="str">
            <v>Previsión Arrendamientos</v>
          </cell>
          <cell r="C316" t="str">
            <v>Prev</v>
          </cell>
        </row>
        <row r="317">
          <cell r="A317">
            <v>500000</v>
          </cell>
          <cell r="B317" t="str">
            <v>BIENES MUEBLES, INMUEBLES E INTANGIBLES</v>
          </cell>
          <cell r="C317" t="str">
            <v>N</v>
          </cell>
        </row>
        <row r="318">
          <cell r="A318">
            <v>510000</v>
          </cell>
          <cell r="B318" t="str">
            <v>MOBILIARIO Y EQUIPO DE ADMINISTRACIÓN</v>
          </cell>
          <cell r="C318" t="str">
            <v>N</v>
          </cell>
        </row>
        <row r="319">
          <cell r="A319">
            <v>511000</v>
          </cell>
          <cell r="B319" t="str">
            <v>Muebles de oficina y estantería</v>
          </cell>
          <cell r="C319" t="str">
            <v>N</v>
          </cell>
        </row>
        <row r="320">
          <cell r="A320">
            <v>511001</v>
          </cell>
          <cell r="B320" t="str">
            <v>Mobiliario</v>
          </cell>
          <cell r="C320" t="str">
            <v>S</v>
          </cell>
        </row>
        <row r="321">
          <cell r="A321">
            <v>512000</v>
          </cell>
          <cell r="B321" t="str">
            <v>Muebles, excepto de oficina y estantería</v>
          </cell>
          <cell r="C321" t="str">
            <v>N</v>
          </cell>
        </row>
        <row r="322">
          <cell r="A322">
            <v>512001</v>
          </cell>
          <cell r="B322" t="str">
            <v>Muebles, excepto de oficina y estantería</v>
          </cell>
          <cell r="C322" t="str">
            <v>S</v>
          </cell>
        </row>
        <row r="323">
          <cell r="A323">
            <v>513000</v>
          </cell>
          <cell r="B323" t="str">
            <v>Bienes artísticos, culturales y científicos</v>
          </cell>
          <cell r="C323" t="str">
            <v>N</v>
          </cell>
        </row>
        <row r="324">
          <cell r="A324">
            <v>513001</v>
          </cell>
          <cell r="B324" t="str">
            <v>Bienes artísticos y culturales</v>
          </cell>
          <cell r="C324" t="str">
            <v>S</v>
          </cell>
        </row>
        <row r="325">
          <cell r="A325">
            <v>514000</v>
          </cell>
          <cell r="B325" t="str">
            <v>Objetos de valor</v>
          </cell>
          <cell r="C325" t="str">
            <v>N</v>
          </cell>
        </row>
        <row r="326">
          <cell r="A326">
            <v>514001</v>
          </cell>
          <cell r="B326" t="str">
            <v>Objetos de valor</v>
          </cell>
          <cell r="C326" t="str">
            <v>S</v>
          </cell>
        </row>
        <row r="327">
          <cell r="A327">
            <v>515000</v>
          </cell>
          <cell r="B327" t="str">
            <v>Equipo de cómputo y de tecnologías de la información</v>
          </cell>
          <cell r="C327" t="str">
            <v>N</v>
          </cell>
        </row>
        <row r="328">
          <cell r="A328">
            <v>515001</v>
          </cell>
          <cell r="B328" t="str">
            <v>Equipo de administración</v>
          </cell>
          <cell r="C328" t="str">
            <v>S</v>
          </cell>
        </row>
        <row r="329">
          <cell r="A329">
            <v>515002</v>
          </cell>
          <cell r="B329" t="str">
            <v>Equipo de Cómputo y Aparatos de Uso Informático</v>
          </cell>
          <cell r="C329" t="str">
            <v>S</v>
          </cell>
        </row>
        <row r="330">
          <cell r="A330">
            <v>515003</v>
          </cell>
          <cell r="B330" t="str">
            <v>Sistemas de Rastreo Satelital (GPS)</v>
          </cell>
          <cell r="C330" t="str">
            <v>S</v>
          </cell>
        </row>
        <row r="331">
          <cell r="A331">
            <v>519000</v>
          </cell>
          <cell r="B331" t="str">
            <v>Otros mobiliarios y equipos de administración</v>
          </cell>
          <cell r="C331" t="str">
            <v>N</v>
          </cell>
        </row>
        <row r="332">
          <cell r="A332">
            <v>519001</v>
          </cell>
          <cell r="B332" t="str">
            <v>Cámaras y Circuitos Cerrados de Seguridad</v>
          </cell>
          <cell r="C332" t="str">
            <v>S</v>
          </cell>
        </row>
        <row r="333">
          <cell r="A333">
            <v>519002</v>
          </cell>
          <cell r="B333" t="str">
            <v>Equipos de Audio</v>
          </cell>
          <cell r="C333" t="str">
            <v>S</v>
          </cell>
        </row>
        <row r="334">
          <cell r="A334">
            <v>519003</v>
          </cell>
          <cell r="B334" t="str">
            <v>Otras Herramientas, Mobiliarios y Eq. De Administración</v>
          </cell>
          <cell r="C334" t="str">
            <v>S</v>
          </cell>
        </row>
        <row r="335">
          <cell r="A335">
            <v>519004</v>
          </cell>
          <cell r="B335" t="str">
            <v>Aulas Móviles de Vigilancia</v>
          </cell>
          <cell r="C335" t="str">
            <v>S</v>
          </cell>
        </row>
        <row r="336">
          <cell r="A336">
            <v>520000</v>
          </cell>
          <cell r="B336" t="str">
            <v>MOBILIARIO Y EQUIPO EDUCACIONAL Y RECREATIVO</v>
          </cell>
          <cell r="C336" t="str">
            <v>N</v>
          </cell>
        </row>
        <row r="337">
          <cell r="A337">
            <v>521000</v>
          </cell>
          <cell r="B337" t="str">
            <v>Equipos y aparatos audiovisuales</v>
          </cell>
          <cell r="C337" t="str">
            <v>N</v>
          </cell>
        </row>
        <row r="338">
          <cell r="A338">
            <v>521001</v>
          </cell>
          <cell r="B338" t="str">
            <v>Equipo educacional y recreativo</v>
          </cell>
          <cell r="C338" t="str">
            <v>S</v>
          </cell>
        </row>
        <row r="339">
          <cell r="A339">
            <v>522000</v>
          </cell>
          <cell r="B339" t="str">
            <v>Aparatos deportivos</v>
          </cell>
          <cell r="C339" t="str">
            <v>N</v>
          </cell>
        </row>
        <row r="340">
          <cell r="A340">
            <v>522001</v>
          </cell>
          <cell r="B340" t="str">
            <v>Aparatos deportivos</v>
          </cell>
          <cell r="C340" t="str">
            <v>S</v>
          </cell>
        </row>
        <row r="341">
          <cell r="A341">
            <v>523000</v>
          </cell>
          <cell r="B341" t="str">
            <v>Cámaras fotográficas y de video</v>
          </cell>
          <cell r="C341" t="str">
            <v>N</v>
          </cell>
        </row>
        <row r="342">
          <cell r="A342">
            <v>523001</v>
          </cell>
          <cell r="B342" t="str">
            <v>Cámaras Fotográficas</v>
          </cell>
          <cell r="C342" t="str">
            <v>S</v>
          </cell>
        </row>
        <row r="343">
          <cell r="A343">
            <v>523002</v>
          </cell>
          <cell r="B343" t="str">
            <v>Cámaras de Video</v>
          </cell>
          <cell r="C343" t="str">
            <v>S</v>
          </cell>
        </row>
        <row r="344">
          <cell r="A344">
            <v>529000</v>
          </cell>
          <cell r="B344" t="str">
            <v>Otro mobiliario y equipo educacional y recreativo</v>
          </cell>
          <cell r="C344" t="str">
            <v>N</v>
          </cell>
        </row>
        <row r="345">
          <cell r="A345">
            <v>529001</v>
          </cell>
          <cell r="B345" t="str">
            <v>Instrumentos Musicales</v>
          </cell>
          <cell r="C345" t="str">
            <v>S</v>
          </cell>
        </row>
        <row r="346">
          <cell r="A346">
            <v>529002</v>
          </cell>
          <cell r="B346" t="str">
            <v>Equipo Educacional</v>
          </cell>
          <cell r="C346" t="str">
            <v>S</v>
          </cell>
        </row>
        <row r="347">
          <cell r="A347">
            <v>530000</v>
          </cell>
          <cell r="B347" t="str">
            <v>EQUIPO E INSTRUMENTAL MÉDICO Y DE LABORATORIO</v>
          </cell>
          <cell r="C347" t="str">
            <v>N</v>
          </cell>
        </row>
        <row r="348">
          <cell r="A348">
            <v>531000</v>
          </cell>
          <cell r="B348" t="str">
            <v>Equipo médico y de laboratorio</v>
          </cell>
          <cell r="C348" t="str">
            <v>N</v>
          </cell>
        </row>
        <row r="349">
          <cell r="A349">
            <v>531001</v>
          </cell>
          <cell r="B349" t="str">
            <v>Equipo e instrumental medico</v>
          </cell>
          <cell r="C349" t="str">
            <v>S</v>
          </cell>
        </row>
        <row r="350">
          <cell r="A350">
            <v>532000</v>
          </cell>
          <cell r="B350" t="str">
            <v>Instrumental médico y de laboratorio</v>
          </cell>
          <cell r="C350" t="str">
            <v>N</v>
          </cell>
        </row>
        <row r="351">
          <cell r="A351">
            <v>532001</v>
          </cell>
          <cell r="B351" t="str">
            <v>Instrumental médico y de laboratorio</v>
          </cell>
          <cell r="C351" t="str">
            <v>S</v>
          </cell>
        </row>
        <row r="352">
          <cell r="A352">
            <v>540000</v>
          </cell>
          <cell r="B352" t="str">
            <v>VEHÍCULOS Y EQUIPO DE TRANSPORTE</v>
          </cell>
          <cell r="C352" t="str">
            <v>N</v>
          </cell>
        </row>
        <row r="353">
          <cell r="A353">
            <v>541000</v>
          </cell>
          <cell r="B353" t="str">
            <v>Automóviles y camiones</v>
          </cell>
          <cell r="C353" t="str">
            <v>N</v>
          </cell>
        </row>
        <row r="354">
          <cell r="A354">
            <v>541001</v>
          </cell>
          <cell r="B354" t="str">
            <v>Vehículos y equipo terrestre</v>
          </cell>
          <cell r="C354" t="str">
            <v>S</v>
          </cell>
        </row>
        <row r="355">
          <cell r="A355">
            <v>542000</v>
          </cell>
          <cell r="B355" t="str">
            <v>Carrocerías y remolques</v>
          </cell>
          <cell r="C355" t="str">
            <v>N</v>
          </cell>
        </row>
        <row r="356">
          <cell r="A356">
            <v>542001</v>
          </cell>
          <cell r="B356" t="str">
            <v>Carrocerías y remolques</v>
          </cell>
          <cell r="C356" t="str">
            <v>S</v>
          </cell>
        </row>
        <row r="357">
          <cell r="A357">
            <v>543000</v>
          </cell>
          <cell r="B357" t="str">
            <v>Equipo aeroespacial</v>
          </cell>
          <cell r="C357" t="str">
            <v>N</v>
          </cell>
        </row>
        <row r="358">
          <cell r="A358">
            <v>543001</v>
          </cell>
          <cell r="B358" t="str">
            <v>Vehículos y equipo de transporte aéreo</v>
          </cell>
          <cell r="C358" t="str">
            <v>S</v>
          </cell>
        </row>
        <row r="359">
          <cell r="A359">
            <v>544000</v>
          </cell>
          <cell r="B359" t="str">
            <v>Equipo ferroviario</v>
          </cell>
          <cell r="C359" t="str">
            <v>N</v>
          </cell>
        </row>
        <row r="360">
          <cell r="A360">
            <v>544001</v>
          </cell>
          <cell r="B360" t="str">
            <v>Equipo ferroviario</v>
          </cell>
          <cell r="C360" t="str">
            <v>S</v>
          </cell>
        </row>
        <row r="361">
          <cell r="A361">
            <v>545000</v>
          </cell>
          <cell r="B361" t="str">
            <v>Embarcaciones</v>
          </cell>
          <cell r="C361" t="str">
            <v>N</v>
          </cell>
        </row>
        <row r="362">
          <cell r="A362">
            <v>545001</v>
          </cell>
          <cell r="B362" t="str">
            <v>Vehículos y equipo marino</v>
          </cell>
          <cell r="C362" t="str">
            <v>S</v>
          </cell>
        </row>
        <row r="363">
          <cell r="A363">
            <v>549000</v>
          </cell>
          <cell r="B363" t="str">
            <v>Otros Equipos de Transporte</v>
          </cell>
          <cell r="C363" t="str">
            <v>N</v>
          </cell>
        </row>
        <row r="364">
          <cell r="A364">
            <v>549001</v>
          </cell>
          <cell r="B364" t="str">
            <v>Otros equipos de transporte</v>
          </cell>
          <cell r="C364" t="str">
            <v>S</v>
          </cell>
        </row>
        <row r="365">
          <cell r="A365">
            <v>550000</v>
          </cell>
          <cell r="B365" t="str">
            <v>EQUIPO DE DEFENSA Y SEGURIDAD</v>
          </cell>
          <cell r="C365" t="str">
            <v>N</v>
          </cell>
        </row>
        <row r="366">
          <cell r="A366">
            <v>551000</v>
          </cell>
          <cell r="B366" t="str">
            <v>Equipo de defensa y seguridad</v>
          </cell>
          <cell r="C366" t="str">
            <v>N</v>
          </cell>
        </row>
        <row r="367">
          <cell r="A367">
            <v>551001</v>
          </cell>
          <cell r="B367" t="str">
            <v>Equipo de defensa y seguridad pública</v>
          </cell>
          <cell r="C367" t="str">
            <v>S</v>
          </cell>
        </row>
        <row r="368">
          <cell r="A368">
            <v>560000</v>
          </cell>
          <cell r="B368" t="str">
            <v>MAQUINARIA, OTROS EQUIPOS Y HERRAMIENTAS</v>
          </cell>
          <cell r="C368" t="str">
            <v>N</v>
          </cell>
        </row>
        <row r="369">
          <cell r="A369">
            <v>561000</v>
          </cell>
          <cell r="B369" t="str">
            <v>Maquinaria y equipo agropecuario</v>
          </cell>
          <cell r="C369" t="str">
            <v>N</v>
          </cell>
        </row>
        <row r="370">
          <cell r="A370">
            <v>561001</v>
          </cell>
          <cell r="B370" t="str">
            <v>Maquinaria y equipo agropecuario, industrial y de construcción</v>
          </cell>
          <cell r="C370" t="str">
            <v>S</v>
          </cell>
        </row>
        <row r="371">
          <cell r="A371">
            <v>562000</v>
          </cell>
          <cell r="B371" t="str">
            <v>Maquinaria y equipo industrial</v>
          </cell>
          <cell r="C371" t="str">
            <v>N</v>
          </cell>
        </row>
        <row r="372">
          <cell r="A372">
            <v>562001</v>
          </cell>
          <cell r="B372" t="str">
            <v>Bombas Industriales</v>
          </cell>
          <cell r="C372" t="str">
            <v>S</v>
          </cell>
        </row>
        <row r="373">
          <cell r="A373">
            <v>563000</v>
          </cell>
          <cell r="B373" t="str">
            <v>Maquinaria y equipo de construcción</v>
          </cell>
          <cell r="C373" t="str">
            <v>N</v>
          </cell>
        </row>
        <row r="374">
          <cell r="A374">
            <v>563001</v>
          </cell>
          <cell r="B374" t="str">
            <v>Maquinaria y equipo de construcción</v>
          </cell>
          <cell r="C374" t="str">
            <v>S</v>
          </cell>
        </row>
        <row r="375">
          <cell r="A375">
            <v>564000</v>
          </cell>
          <cell r="B375" t="str">
            <v>Sistemas de aire acondicionado, calefacción y de refrigeración industrial y comercial</v>
          </cell>
          <cell r="C375" t="str">
            <v>N</v>
          </cell>
        </row>
        <row r="376">
          <cell r="A376">
            <v>564001</v>
          </cell>
          <cell r="B376" t="str">
            <v>Sistemas de aire acondicionado, calefacción y de refrigeración industrial y comercial</v>
          </cell>
          <cell r="C376" t="str">
            <v>S</v>
          </cell>
        </row>
        <row r="377">
          <cell r="A377">
            <v>565000</v>
          </cell>
          <cell r="B377" t="str">
            <v>Equipo de comunicación y telecomunicación</v>
          </cell>
          <cell r="C377" t="str">
            <v>N</v>
          </cell>
        </row>
        <row r="378">
          <cell r="A378">
            <v>565001</v>
          </cell>
          <cell r="B378" t="str">
            <v>Maq. y equipo de telecomunicaciones, eléctrica y electrónica</v>
          </cell>
          <cell r="C378" t="str">
            <v>S</v>
          </cell>
        </row>
        <row r="379">
          <cell r="A379">
            <v>566000</v>
          </cell>
          <cell r="B379" t="str">
            <v>Equipos de generación eléctrica, aparatos y accesorios eléctricos</v>
          </cell>
          <cell r="C379" t="str">
            <v>N</v>
          </cell>
        </row>
        <row r="380">
          <cell r="A380">
            <v>566001</v>
          </cell>
          <cell r="B380" t="str">
            <v>Equipos de generación eléctrica</v>
          </cell>
          <cell r="C380" t="str">
            <v>S</v>
          </cell>
        </row>
        <row r="381">
          <cell r="A381">
            <v>566002</v>
          </cell>
          <cell r="B381" t="str">
            <v>Aparatos y Accesorios eléctricos</v>
          </cell>
          <cell r="C381" t="str">
            <v>S</v>
          </cell>
        </row>
        <row r="382">
          <cell r="A382">
            <v>567000</v>
          </cell>
          <cell r="B382" t="str">
            <v>Herramientas y máquinas-herramienta</v>
          </cell>
          <cell r="C382" t="str">
            <v>N</v>
          </cell>
        </row>
        <row r="383">
          <cell r="A383">
            <v>567001</v>
          </cell>
          <cell r="B383" t="str">
            <v>Herramientas y refacciones mayores</v>
          </cell>
          <cell r="C383" t="str">
            <v>S</v>
          </cell>
        </row>
        <row r="384">
          <cell r="A384">
            <v>569000</v>
          </cell>
          <cell r="B384" t="str">
            <v>Otros equipos</v>
          </cell>
          <cell r="C384" t="str">
            <v>N</v>
          </cell>
        </row>
        <row r="385">
          <cell r="A385">
            <v>569001</v>
          </cell>
          <cell r="B385" t="str">
            <v>Maquinaria y equipo diverso</v>
          </cell>
          <cell r="C385" t="str">
            <v>S</v>
          </cell>
        </row>
        <row r="386">
          <cell r="A386">
            <v>570000</v>
          </cell>
          <cell r="B386" t="str">
            <v>ACTIVOS BIOLÓGICOS</v>
          </cell>
          <cell r="C386" t="str">
            <v>N</v>
          </cell>
        </row>
        <row r="387">
          <cell r="A387">
            <v>571000</v>
          </cell>
          <cell r="B387" t="str">
            <v>Bovinos</v>
          </cell>
          <cell r="C387" t="str">
            <v>N</v>
          </cell>
        </row>
        <row r="388">
          <cell r="A388">
            <v>571001</v>
          </cell>
          <cell r="B388" t="str">
            <v>Bovinos</v>
          </cell>
          <cell r="C388" t="str">
            <v>S</v>
          </cell>
        </row>
        <row r="389">
          <cell r="A389">
            <v>572000</v>
          </cell>
          <cell r="B389" t="str">
            <v>Porcinos</v>
          </cell>
          <cell r="C389" t="str">
            <v>N</v>
          </cell>
        </row>
        <row r="390">
          <cell r="A390">
            <v>572001</v>
          </cell>
          <cell r="B390" t="str">
            <v>Porcinos</v>
          </cell>
          <cell r="C390" t="str">
            <v>S</v>
          </cell>
        </row>
        <row r="391">
          <cell r="A391">
            <v>573000</v>
          </cell>
          <cell r="B391" t="str">
            <v>Aves</v>
          </cell>
          <cell r="C391" t="str">
            <v>N</v>
          </cell>
        </row>
        <row r="392">
          <cell r="A392">
            <v>573001</v>
          </cell>
          <cell r="B392" t="str">
            <v>Aves</v>
          </cell>
          <cell r="C392" t="str">
            <v>S</v>
          </cell>
        </row>
        <row r="393">
          <cell r="A393">
            <v>574000</v>
          </cell>
          <cell r="B393" t="str">
            <v>Ovinos y caprinos</v>
          </cell>
          <cell r="C393" t="str">
            <v>N</v>
          </cell>
        </row>
        <row r="394">
          <cell r="A394">
            <v>574001</v>
          </cell>
          <cell r="B394" t="str">
            <v>Ovinos y caprinos</v>
          </cell>
          <cell r="C394" t="str">
            <v>S</v>
          </cell>
        </row>
        <row r="395">
          <cell r="A395">
            <v>575000</v>
          </cell>
          <cell r="B395" t="str">
            <v>Peces y acuicultura</v>
          </cell>
          <cell r="C395" t="str">
            <v>N</v>
          </cell>
        </row>
        <row r="396">
          <cell r="A396">
            <v>575001</v>
          </cell>
          <cell r="B396" t="str">
            <v>Peces y acuicultura</v>
          </cell>
          <cell r="C396" t="str">
            <v>S</v>
          </cell>
        </row>
        <row r="397">
          <cell r="A397">
            <v>576000</v>
          </cell>
          <cell r="B397" t="str">
            <v>Equinos</v>
          </cell>
          <cell r="C397" t="str">
            <v>N</v>
          </cell>
        </row>
        <row r="398">
          <cell r="A398">
            <v>576001</v>
          </cell>
          <cell r="B398" t="str">
            <v>Equinos</v>
          </cell>
          <cell r="C398" t="str">
            <v>S</v>
          </cell>
        </row>
        <row r="399">
          <cell r="A399">
            <v>577000</v>
          </cell>
          <cell r="B399" t="str">
            <v>Especies menores y de zoológico</v>
          </cell>
          <cell r="C399" t="str">
            <v>N</v>
          </cell>
        </row>
        <row r="400">
          <cell r="A400">
            <v>577001</v>
          </cell>
          <cell r="B400" t="str">
            <v>Especies menores y de zoológico</v>
          </cell>
          <cell r="C400" t="str">
            <v>S</v>
          </cell>
        </row>
        <row r="401">
          <cell r="A401">
            <v>578000</v>
          </cell>
          <cell r="B401" t="str">
            <v>Árboles y plantas</v>
          </cell>
          <cell r="C401" t="str">
            <v>N</v>
          </cell>
        </row>
        <row r="402">
          <cell r="A402">
            <v>578001</v>
          </cell>
          <cell r="B402" t="str">
            <v>Árboles y plantas</v>
          </cell>
          <cell r="C402" t="str">
            <v>S</v>
          </cell>
        </row>
        <row r="403">
          <cell r="A403">
            <v>579000</v>
          </cell>
          <cell r="B403" t="str">
            <v>Otros activos biológicos</v>
          </cell>
          <cell r="C403" t="str">
            <v>N</v>
          </cell>
        </row>
        <row r="404">
          <cell r="A404">
            <v>579001</v>
          </cell>
          <cell r="B404" t="str">
            <v>Otros activos biológicos</v>
          </cell>
          <cell r="C404" t="str">
            <v>S</v>
          </cell>
        </row>
        <row r="405">
          <cell r="A405">
            <v>580000</v>
          </cell>
          <cell r="B405" t="str">
            <v>BIENES INMUEBLES</v>
          </cell>
          <cell r="C405" t="str">
            <v>N</v>
          </cell>
        </row>
        <row r="406">
          <cell r="A406">
            <v>581000</v>
          </cell>
          <cell r="B406" t="str">
            <v>Terrenos</v>
          </cell>
          <cell r="C406" t="str">
            <v>N</v>
          </cell>
        </row>
        <row r="407">
          <cell r="A407">
            <v>581001</v>
          </cell>
          <cell r="B407" t="str">
            <v>Terrenos</v>
          </cell>
          <cell r="C407" t="str">
            <v>S</v>
          </cell>
        </row>
        <row r="408">
          <cell r="A408">
            <v>582000</v>
          </cell>
          <cell r="B408" t="str">
            <v>Viviendas</v>
          </cell>
          <cell r="C408" t="str">
            <v>N</v>
          </cell>
        </row>
        <row r="409">
          <cell r="A409">
            <v>582001</v>
          </cell>
          <cell r="B409" t="str">
            <v>Viviendas</v>
          </cell>
          <cell r="C409" t="str">
            <v>S</v>
          </cell>
        </row>
        <row r="410">
          <cell r="A410">
            <v>583000</v>
          </cell>
          <cell r="B410" t="str">
            <v>Edificios no residenciales</v>
          </cell>
          <cell r="C410" t="str">
            <v>N</v>
          </cell>
        </row>
        <row r="411">
          <cell r="A411">
            <v>583001</v>
          </cell>
          <cell r="B411" t="str">
            <v>Edificios y locales</v>
          </cell>
          <cell r="C411" t="str">
            <v>S</v>
          </cell>
        </row>
        <row r="412">
          <cell r="A412">
            <v>589000</v>
          </cell>
          <cell r="B412" t="str">
            <v>Otros bienes inmuebles</v>
          </cell>
          <cell r="C412" t="str">
            <v>N</v>
          </cell>
        </row>
        <row r="413">
          <cell r="A413">
            <v>589001</v>
          </cell>
          <cell r="B413" t="str">
            <v>Adjudicaciones, expropiaciones e indemnizaciones de inmuebles</v>
          </cell>
          <cell r="C413" t="str">
            <v>S</v>
          </cell>
        </row>
        <row r="414">
          <cell r="A414">
            <v>590000</v>
          </cell>
          <cell r="B414" t="str">
            <v>ACTIVOS INTANGIBLES</v>
          </cell>
          <cell r="C414" t="str">
            <v>N</v>
          </cell>
        </row>
        <row r="415">
          <cell r="A415">
            <v>591000</v>
          </cell>
          <cell r="B415" t="str">
            <v>Software</v>
          </cell>
          <cell r="C415" t="str">
            <v>N</v>
          </cell>
        </row>
        <row r="416">
          <cell r="A416">
            <v>591001</v>
          </cell>
          <cell r="B416" t="str">
            <v>Software</v>
          </cell>
          <cell r="C416" t="str">
            <v>S</v>
          </cell>
        </row>
        <row r="417">
          <cell r="A417">
            <v>592000</v>
          </cell>
          <cell r="B417" t="str">
            <v>Patentes</v>
          </cell>
          <cell r="C417" t="str">
            <v>N</v>
          </cell>
        </row>
        <row r="418">
          <cell r="A418">
            <v>592001</v>
          </cell>
          <cell r="B418" t="str">
            <v>Patentes</v>
          </cell>
          <cell r="C418" t="str">
            <v>S</v>
          </cell>
        </row>
        <row r="419">
          <cell r="A419">
            <v>593000</v>
          </cell>
          <cell r="B419" t="str">
            <v>Marcas</v>
          </cell>
          <cell r="C419" t="str">
            <v>N</v>
          </cell>
        </row>
        <row r="420">
          <cell r="A420">
            <v>593001</v>
          </cell>
          <cell r="B420" t="str">
            <v>Marcas</v>
          </cell>
          <cell r="C420" t="str">
            <v>S</v>
          </cell>
        </row>
        <row r="421">
          <cell r="A421">
            <v>594000</v>
          </cell>
          <cell r="B421" t="str">
            <v>Derechos</v>
          </cell>
          <cell r="C421" t="str">
            <v>N</v>
          </cell>
        </row>
        <row r="422">
          <cell r="A422">
            <v>594001</v>
          </cell>
          <cell r="B422" t="str">
            <v>Derechos</v>
          </cell>
          <cell r="C422" t="str">
            <v>S</v>
          </cell>
        </row>
        <row r="423">
          <cell r="A423">
            <v>595000</v>
          </cell>
          <cell r="B423" t="str">
            <v>Concesiones</v>
          </cell>
          <cell r="C423" t="str">
            <v>N</v>
          </cell>
        </row>
        <row r="424">
          <cell r="A424">
            <v>595001</v>
          </cell>
          <cell r="B424" t="str">
            <v>Concesiones</v>
          </cell>
          <cell r="C424" t="str">
            <v>S</v>
          </cell>
        </row>
        <row r="425">
          <cell r="A425">
            <v>596000</v>
          </cell>
          <cell r="B425" t="str">
            <v>Franquicias</v>
          </cell>
          <cell r="C425" t="str">
            <v>N</v>
          </cell>
        </row>
        <row r="426">
          <cell r="A426">
            <v>596001</v>
          </cell>
          <cell r="B426" t="str">
            <v>Franquicias</v>
          </cell>
          <cell r="C426" t="str">
            <v>S</v>
          </cell>
        </row>
        <row r="427">
          <cell r="A427">
            <v>597000</v>
          </cell>
          <cell r="B427" t="str">
            <v>Licencias informáticas e intelectuales</v>
          </cell>
          <cell r="C427" t="str">
            <v>N</v>
          </cell>
        </row>
        <row r="428">
          <cell r="A428">
            <v>597001</v>
          </cell>
          <cell r="B428" t="str">
            <v>Licencias para programas de antivirus</v>
          </cell>
          <cell r="C428" t="str">
            <v>S</v>
          </cell>
        </row>
        <row r="429">
          <cell r="A429">
            <v>597002</v>
          </cell>
          <cell r="B429" t="str">
            <v>Licencias Microsoft Windows server 2003 edición estándar</v>
          </cell>
          <cell r="C429" t="str">
            <v>S</v>
          </cell>
        </row>
        <row r="430">
          <cell r="A430">
            <v>598000</v>
          </cell>
          <cell r="B430" t="str">
            <v>Licencias industriales, comerciales y otras</v>
          </cell>
          <cell r="C430" t="str">
            <v>N</v>
          </cell>
        </row>
        <row r="431">
          <cell r="A431">
            <v>598001</v>
          </cell>
          <cell r="B431" t="str">
            <v>Licencias industriales, comerciales y otras</v>
          </cell>
          <cell r="C431" t="str">
            <v>S</v>
          </cell>
        </row>
        <row r="432">
          <cell r="A432">
            <v>599000</v>
          </cell>
          <cell r="B432" t="str">
            <v>Otros activos intangibles</v>
          </cell>
          <cell r="C432" t="str">
            <v>N</v>
          </cell>
        </row>
        <row r="433">
          <cell r="A433">
            <v>599001</v>
          </cell>
          <cell r="B433" t="str">
            <v>Otros activos intangibles</v>
          </cell>
          <cell r="C433" t="str">
            <v>S</v>
          </cell>
        </row>
      </sheetData>
      <sheetData sheetId="4">
        <row r="1">
          <cell r="A1" t="str">
            <v>NOMENCLATURA</v>
          </cell>
          <cell r="B1" t="str">
            <v>DESCRPCION</v>
          </cell>
          <cell r="C1"/>
          <cell r="D1"/>
        </row>
        <row r="2">
          <cell r="A2">
            <v>100</v>
          </cell>
          <cell r="B2" t="str">
            <v>INGRESOS PROPIOS Y APROVECHAMIENTOS</v>
          </cell>
          <cell r="C2"/>
          <cell r="D2"/>
        </row>
        <row r="3">
          <cell r="A3">
            <v>101</v>
          </cell>
          <cell r="B3" t="str">
            <v>INGRESOS PROPIOS (IMPUESTOS, DERECHOS, PRODUCTOS Y APROVECHAMIENTOS)</v>
          </cell>
          <cell r="C3"/>
          <cell r="D3"/>
        </row>
        <row r="4">
          <cell r="A4">
            <v>102</v>
          </cell>
          <cell r="B4" t="str">
            <v>INGRESOS PROPIOS</v>
          </cell>
          <cell r="C4"/>
          <cell r="D4"/>
        </row>
        <row r="5">
          <cell r="A5">
            <v>103</v>
          </cell>
          <cell r="B5" t="str">
            <v>INGRESOS PROPIOS APORTACIONES MUNICIPALES</v>
          </cell>
          <cell r="C5"/>
          <cell r="D5"/>
        </row>
        <row r="6">
          <cell r="A6">
            <v>104</v>
          </cell>
          <cell r="B6" t="str">
            <v>APROVECHAMIENTO POR EL USO DE LA I NFRAESTRUCTURA ESTATAL</v>
          </cell>
          <cell r="C6"/>
          <cell r="D6"/>
        </row>
        <row r="7">
          <cell r="A7">
            <v>110</v>
          </cell>
          <cell r="B7" t="str">
            <v>RECURSO F.O.I.S.</v>
          </cell>
          <cell r="C7"/>
          <cell r="D7"/>
        </row>
        <row r="8">
          <cell r="A8">
            <v>111</v>
          </cell>
          <cell r="B8" t="str">
            <v>RECURSO A.P.I.</v>
          </cell>
          <cell r="C8"/>
          <cell r="D8"/>
        </row>
        <row r="9">
          <cell r="A9">
            <v>130</v>
          </cell>
          <cell r="B9" t="str">
            <v>Reintegro con Ingresos Propios Ramo 28</v>
          </cell>
          <cell r="C9"/>
          <cell r="D9"/>
        </row>
        <row r="10">
          <cell r="A10">
            <v>136</v>
          </cell>
          <cell r="B10" t="str">
            <v>Reintegro con Ingresos Propios FONE</v>
          </cell>
          <cell r="C10"/>
          <cell r="D10"/>
        </row>
        <row r="11">
          <cell r="A11">
            <v>137</v>
          </cell>
          <cell r="B11" t="str">
            <v>Reintegro con Ingresos Propios FASSA</v>
          </cell>
          <cell r="C11"/>
          <cell r="D11"/>
        </row>
        <row r="12">
          <cell r="A12">
            <v>138</v>
          </cell>
          <cell r="B12" t="str">
            <v>Reintegro con Ingresos Propios FAIS/FISE</v>
          </cell>
          <cell r="C12"/>
          <cell r="D12"/>
        </row>
        <row r="13">
          <cell r="A13">
            <v>139</v>
          </cell>
          <cell r="B13" t="str">
            <v>Reintegro con Ingresos Propios FAIS/FISM</v>
          </cell>
          <cell r="C13"/>
          <cell r="D13"/>
        </row>
        <row r="14">
          <cell r="A14">
            <v>140</v>
          </cell>
          <cell r="B14" t="str">
            <v>Reintegro con Ingresos Propios FORTAMUN</v>
          </cell>
          <cell r="C14"/>
          <cell r="D14"/>
        </row>
        <row r="15">
          <cell r="A15">
            <v>141</v>
          </cell>
          <cell r="B15" t="str">
            <v>Reintegro con Ingresos Propios FAM/Asistencia Social</v>
          </cell>
          <cell r="C15"/>
          <cell r="D15"/>
        </row>
        <row r="16">
          <cell r="A16">
            <v>142</v>
          </cell>
          <cell r="B16" t="str">
            <v>Reintegro con Ingresos Propios FAM/Infraest. Educación Básica</v>
          </cell>
          <cell r="C16"/>
          <cell r="D16"/>
        </row>
        <row r="17">
          <cell r="A17">
            <v>143</v>
          </cell>
          <cell r="B17" t="str">
            <v>Reintegro con Ingresos Propios FAM/ Infraest. Educación Media Superior y Superior</v>
          </cell>
          <cell r="C17"/>
          <cell r="D17"/>
        </row>
        <row r="18">
          <cell r="A18">
            <v>145</v>
          </cell>
          <cell r="B18" t="str">
            <v>Reintegro con Ingresos Propios FAETA/Educ. Tecnológica (CONALEP)</v>
          </cell>
          <cell r="C18"/>
          <cell r="D18"/>
        </row>
        <row r="19">
          <cell r="A19">
            <v>146</v>
          </cell>
          <cell r="B19" t="str">
            <v>Reintegro con Ingresos Propios FAETA Educ. Adultos (IEEA)</v>
          </cell>
          <cell r="C19"/>
          <cell r="D19"/>
        </row>
        <row r="20">
          <cell r="A20">
            <v>147</v>
          </cell>
          <cell r="B20" t="str">
            <v>Reintegro con Ingresos Propios FASP</v>
          </cell>
          <cell r="C20"/>
          <cell r="D20"/>
        </row>
        <row r="21">
          <cell r="A21">
            <v>148</v>
          </cell>
          <cell r="B21" t="str">
            <v>Reintegro con Ingresos Propios FAFEF</v>
          </cell>
          <cell r="C21"/>
          <cell r="D21"/>
        </row>
        <row r="22">
          <cell r="A22">
            <v>149</v>
          </cell>
          <cell r="B22" t="str">
            <v>Reintegro con Ingresos Propios SEDATU</v>
          </cell>
          <cell r="C22"/>
          <cell r="D22"/>
        </row>
        <row r="23">
          <cell r="A23">
            <v>161</v>
          </cell>
          <cell r="B23" t="str">
            <v>Reintegro con Ingresos Propios CULTURA Ramo 48</v>
          </cell>
          <cell r="C23"/>
          <cell r="D23"/>
        </row>
        <row r="24">
          <cell r="A24">
            <v>162</v>
          </cell>
          <cell r="B24" t="str">
            <v>Reintegro con Ingresos Propios UABCS</v>
          </cell>
          <cell r="C24"/>
          <cell r="D24"/>
        </row>
        <row r="25">
          <cell r="A25">
            <v>163</v>
          </cell>
          <cell r="B25" t="str">
            <v>Reintegro con Ingresos Propios CONAGUA</v>
          </cell>
          <cell r="C25"/>
          <cell r="D25"/>
        </row>
        <row r="26">
          <cell r="A26">
            <v>164</v>
          </cell>
          <cell r="B26" t="str">
            <v>Reintegro con Ingresos Propios SEGOB</v>
          </cell>
          <cell r="C26"/>
          <cell r="D26"/>
        </row>
        <row r="27">
          <cell r="A27">
            <v>165</v>
          </cell>
          <cell r="B27" t="str">
            <v>Reintegro con Ingresos Propios SECTUR</v>
          </cell>
          <cell r="C27"/>
          <cell r="D27"/>
        </row>
        <row r="28">
          <cell r="A28">
            <v>166</v>
          </cell>
          <cell r="B28" t="str">
            <v>Reintegro con Ingresos Propios PROFIS</v>
          </cell>
          <cell r="C28"/>
          <cell r="D28"/>
        </row>
        <row r="29">
          <cell r="A29">
            <v>167</v>
          </cell>
          <cell r="B29" t="str">
            <v>Reintegro con Ingresos Propios SSP</v>
          </cell>
          <cell r="C29"/>
          <cell r="D29"/>
        </row>
        <row r="30">
          <cell r="A30">
            <v>168</v>
          </cell>
          <cell r="B30" t="str">
            <v>Reintegro con Ingresos Propios COBACH</v>
          </cell>
          <cell r="C30"/>
          <cell r="D30"/>
        </row>
        <row r="31">
          <cell r="A31">
            <v>169</v>
          </cell>
          <cell r="B31" t="str">
            <v>Reintegro con Ingresos Propios Fondo Proporcional Peso a Peso</v>
          </cell>
          <cell r="C31"/>
          <cell r="D31"/>
        </row>
        <row r="32">
          <cell r="A32">
            <v>170</v>
          </cell>
          <cell r="B32" t="str">
            <v>Reintegro con Ingresos Propios CECYTE</v>
          </cell>
          <cell r="C32"/>
          <cell r="D32"/>
        </row>
        <row r="33">
          <cell r="A33">
            <v>171</v>
          </cell>
          <cell r="B33" t="str">
            <v>Reintegro con Ingresos Propios Imp. Ref. Penal (SETEC)</v>
          </cell>
          <cell r="C33"/>
          <cell r="D33"/>
        </row>
        <row r="34">
          <cell r="A34">
            <v>172</v>
          </cell>
          <cell r="B34" t="str">
            <v>Reintegro con Ingresos Propios CONADE</v>
          </cell>
          <cell r="C34"/>
          <cell r="D34"/>
        </row>
        <row r="35">
          <cell r="A35">
            <v>173</v>
          </cell>
          <cell r="B35" t="str">
            <v>Reintegro con Ingresos Propios Conv. Salud (Ramo 12)</v>
          </cell>
          <cell r="C35"/>
          <cell r="D35"/>
        </row>
        <row r="36">
          <cell r="A36">
            <v>174</v>
          </cell>
          <cell r="B36" t="str">
            <v>Reintegro con Ingresos Propios Secretaría de Economía</v>
          </cell>
          <cell r="C36"/>
          <cell r="D36"/>
        </row>
        <row r="37">
          <cell r="A37">
            <v>177</v>
          </cell>
          <cell r="B37" t="str">
            <v>Reintegro con Ingresos Propios SUBSEMUN</v>
          </cell>
          <cell r="C37"/>
          <cell r="D37"/>
        </row>
        <row r="38">
          <cell r="A38">
            <v>178</v>
          </cell>
          <cell r="B38" t="str">
            <v>Reintegro con Ingresos Propios Fondo Para La Infraest. de los Estados</v>
          </cell>
          <cell r="C38"/>
          <cell r="D38"/>
        </row>
        <row r="39">
          <cell r="A39">
            <v>179</v>
          </cell>
          <cell r="B39" t="str">
            <v>Reintegro con Ingresos Propios Apoyo Financiero Ext. UABCS</v>
          </cell>
          <cell r="C39"/>
          <cell r="D39"/>
        </row>
        <row r="40">
          <cell r="A40">
            <v>180</v>
          </cell>
          <cell r="B40" t="str">
            <v>Reintegro con Ingresos Propios Apoyo Financiero Ext. ISIFE</v>
          </cell>
          <cell r="C40"/>
          <cell r="D40"/>
        </row>
        <row r="41">
          <cell r="A41">
            <v>181</v>
          </cell>
          <cell r="B41" t="str">
            <v>Reintegro con Ingresos Propios Subs. Policía Estatal Acreditable (SPA)</v>
          </cell>
          <cell r="C41"/>
          <cell r="D41"/>
        </row>
        <row r="42">
          <cell r="A42">
            <v>182</v>
          </cell>
          <cell r="B42" t="str">
            <v>Reintegro con Ingresos Propios PROASP</v>
          </cell>
          <cell r="C42"/>
          <cell r="D42"/>
        </row>
        <row r="43">
          <cell r="A43">
            <v>183</v>
          </cell>
          <cell r="B43" t="str">
            <v>Reintegro con Ingresos Propios Ingresos Extraordinarios</v>
          </cell>
          <cell r="C43"/>
          <cell r="D43"/>
        </row>
        <row r="44">
          <cell r="A44">
            <v>184</v>
          </cell>
          <cell r="B44" t="str">
            <v>Reintegro con Ingresos Propios Ingresos Derivados del 5 Al Millar (Obra)</v>
          </cell>
          <cell r="C44"/>
          <cell r="D44"/>
        </row>
        <row r="45">
          <cell r="A45">
            <v>185</v>
          </cell>
          <cell r="B45" t="str">
            <v>Reintegro con Ingresos Propios Ingresos Extraordinarios Ramo 23</v>
          </cell>
          <cell r="C45"/>
          <cell r="D45"/>
        </row>
        <row r="46">
          <cell r="A46">
            <v>186</v>
          </cell>
          <cell r="B46" t="str">
            <v>Reintegro con Ingresos Propios Ingresos Extraordinarios Ramo 21</v>
          </cell>
          <cell r="C46"/>
          <cell r="D46"/>
        </row>
        <row r="47">
          <cell r="A47">
            <v>187</v>
          </cell>
          <cell r="B47" t="str">
            <v>Reintegro con Ingresos Propios Ingresos Extraordinarios Sep. Ramo 11</v>
          </cell>
          <cell r="C47"/>
          <cell r="D47"/>
        </row>
        <row r="48">
          <cell r="A48">
            <v>188</v>
          </cell>
          <cell r="B48" t="str">
            <v>Reintegro con Ingresos Propios Ingresos Ext. Ramo 09 (SCT)</v>
          </cell>
          <cell r="C48"/>
          <cell r="D48"/>
        </row>
        <row r="49">
          <cell r="A49">
            <v>189</v>
          </cell>
          <cell r="B49" t="str">
            <v>Reintegro con Ingresos Propios Ingresos Ext. Ramo 16 (SEMARNAT)</v>
          </cell>
          <cell r="C49"/>
          <cell r="D49"/>
        </row>
        <row r="50">
          <cell r="A50">
            <v>201</v>
          </cell>
          <cell r="B50" t="str">
            <v>BONO CUPÓN CERO</v>
          </cell>
          <cell r="C50"/>
          <cell r="D50"/>
        </row>
        <row r="51">
          <cell r="A51">
            <v>500</v>
          </cell>
          <cell r="B51" t="str">
            <v>RECURSOS FEDERALES</v>
          </cell>
          <cell r="C51"/>
          <cell r="D51"/>
        </row>
        <row r="52">
          <cell r="A52">
            <v>530</v>
          </cell>
          <cell r="B52" t="str">
            <v>PARTICIPACIONES Ramo 28</v>
          </cell>
          <cell r="C52"/>
          <cell r="D52"/>
        </row>
        <row r="53">
          <cell r="A53">
            <v>535</v>
          </cell>
          <cell r="B53" t="str">
            <v>INTERESES BANCARIOS PROYECTADOS, RECURSOS FEDERALES</v>
          </cell>
          <cell r="C53"/>
          <cell r="D53"/>
        </row>
        <row r="54">
          <cell r="A54">
            <v>536</v>
          </cell>
          <cell r="B54" t="str">
            <v>FONE Ramo 33</v>
          </cell>
          <cell r="C54"/>
          <cell r="D54"/>
        </row>
        <row r="55">
          <cell r="A55">
            <v>537</v>
          </cell>
          <cell r="B55" t="str">
            <v>FASSA Ramo 33</v>
          </cell>
          <cell r="C55"/>
          <cell r="D55"/>
        </row>
        <row r="56">
          <cell r="A56">
            <v>538</v>
          </cell>
          <cell r="B56" t="str">
            <v>FAIS/FISE Ramo 33</v>
          </cell>
          <cell r="C56"/>
          <cell r="D56"/>
        </row>
        <row r="57">
          <cell r="A57">
            <v>539</v>
          </cell>
          <cell r="B57" t="str">
            <v>FAIS/FISM Ramo 33</v>
          </cell>
          <cell r="C57"/>
          <cell r="D57"/>
        </row>
        <row r="58">
          <cell r="A58">
            <v>540</v>
          </cell>
          <cell r="B58" t="str">
            <v>FORTAMUN Ramo 33</v>
          </cell>
          <cell r="C58"/>
          <cell r="D58"/>
        </row>
        <row r="59">
          <cell r="A59">
            <v>541</v>
          </cell>
          <cell r="B59" t="str">
            <v>FAM/ASISTENCIA SOCIAL Ramo 33</v>
          </cell>
          <cell r="C59"/>
          <cell r="D59"/>
        </row>
        <row r="60">
          <cell r="A60">
            <v>542</v>
          </cell>
          <cell r="B60" t="str">
            <v>FAM/INFRAESTRUCTURA DE EDUCACIÓN BÁSICA Ramo 33</v>
          </cell>
          <cell r="C60"/>
          <cell r="D60"/>
        </row>
        <row r="61">
          <cell r="A61">
            <v>543</v>
          </cell>
          <cell r="B61" t="str">
            <v>FAM/EDUCACIÓN MEDIA SUPERIOR Y SUPERIOR Ramo 33</v>
          </cell>
          <cell r="C61"/>
          <cell r="D61"/>
        </row>
        <row r="62">
          <cell r="A62">
            <v>545</v>
          </cell>
          <cell r="B62" t="str">
            <v>FAETA/EDUCACIÓN TECNOLÓGICA ( CONALEP) Ramo 33</v>
          </cell>
          <cell r="C62"/>
          <cell r="D62"/>
        </row>
        <row r="63">
          <cell r="A63">
            <v>546</v>
          </cell>
          <cell r="B63" t="str">
            <v>FAETA/EDUCACIÓN ADULTOS (IEEA) Ramo 33</v>
          </cell>
          <cell r="C63"/>
          <cell r="D63"/>
        </row>
        <row r="64">
          <cell r="A64">
            <v>547</v>
          </cell>
          <cell r="B64" t="str">
            <v>FASP Ramo 33</v>
          </cell>
          <cell r="C64"/>
          <cell r="D64"/>
        </row>
        <row r="65">
          <cell r="A65">
            <v>548</v>
          </cell>
          <cell r="B65" t="str">
            <v>FAFEF Ramo 33</v>
          </cell>
          <cell r="C65"/>
          <cell r="D65"/>
        </row>
        <row r="66">
          <cell r="A66">
            <v>549</v>
          </cell>
          <cell r="B66" t="str">
            <v>SRIA. DE DES. AGRARIO TERRITORIAL Y URBANO (SEDATU) Ramo 15</v>
          </cell>
          <cell r="C66"/>
          <cell r="D66"/>
        </row>
        <row r="67">
          <cell r="A67">
            <v>561</v>
          </cell>
          <cell r="B67" t="str">
            <v>CULTURA FEDERAL Ramo 48</v>
          </cell>
          <cell r="C67"/>
          <cell r="D67"/>
        </row>
        <row r="68">
          <cell r="A68">
            <v>562</v>
          </cell>
          <cell r="B68" t="str">
            <v>UNIVERSIDAD AUTÓNOMA DE B.C.S. Ramo 11</v>
          </cell>
          <cell r="C68"/>
          <cell r="D68"/>
        </row>
        <row r="69">
          <cell r="A69">
            <v>563</v>
          </cell>
          <cell r="B69" t="str">
            <v>CONAGUA Ramo 16</v>
          </cell>
          <cell r="C69"/>
          <cell r="D69"/>
        </row>
        <row r="70">
          <cell r="A70">
            <v>564</v>
          </cell>
          <cell r="B70" t="str">
            <v>SECRETARÍA DE GOBERNACIÓN Ramo 04</v>
          </cell>
          <cell r="C70"/>
          <cell r="D70"/>
        </row>
        <row r="71">
          <cell r="A71">
            <v>565</v>
          </cell>
          <cell r="B71" t="str">
            <v>SECRETARÍA DE TURISMO Ramo 21</v>
          </cell>
          <cell r="C71"/>
          <cell r="D71"/>
        </row>
        <row r="72">
          <cell r="A72">
            <v>566</v>
          </cell>
          <cell r="B72" t="str">
            <v>PROFIS</v>
          </cell>
          <cell r="C72"/>
          <cell r="D72"/>
        </row>
        <row r="73">
          <cell r="A73">
            <v>567</v>
          </cell>
          <cell r="B73" t="str">
            <v>SECRETARÍA DE SEGURIDAD PÚBLICA</v>
          </cell>
          <cell r="C73"/>
          <cell r="D73"/>
        </row>
        <row r="74">
          <cell r="A74">
            <v>568</v>
          </cell>
          <cell r="B74" t="str">
            <v>COBACH Ramo 11</v>
          </cell>
          <cell r="C74"/>
          <cell r="D74"/>
        </row>
        <row r="75">
          <cell r="A75">
            <v>569</v>
          </cell>
          <cell r="B75" t="str">
            <v>FONDO PROPORCIONAL PESO A PESO</v>
          </cell>
          <cell r="C75"/>
          <cell r="D75"/>
        </row>
        <row r="76">
          <cell r="A76">
            <v>570</v>
          </cell>
          <cell r="B76" t="str">
            <v>CECYTE Ramo 11</v>
          </cell>
          <cell r="C76"/>
          <cell r="D76"/>
        </row>
        <row r="77">
          <cell r="A77">
            <v>571</v>
          </cell>
          <cell r="B77" t="str">
            <v>IMPLEMENTACIÓN DE LA REFORMA PENAL (SETEC)</v>
          </cell>
          <cell r="C77"/>
          <cell r="D77"/>
        </row>
        <row r="78">
          <cell r="A78">
            <v>572</v>
          </cell>
          <cell r="B78" t="str">
            <v>CONADE Ramo 11</v>
          </cell>
          <cell r="C78"/>
          <cell r="D78"/>
        </row>
        <row r="79">
          <cell r="A79">
            <v>573</v>
          </cell>
          <cell r="B79" t="str">
            <v>CONVENIOS Ramo 12</v>
          </cell>
          <cell r="C79"/>
          <cell r="D79"/>
        </row>
        <row r="80">
          <cell r="A80">
            <v>574</v>
          </cell>
          <cell r="B80" t="str">
            <v>SECRETARÍA DE ECONOMÍA Ramo 10</v>
          </cell>
          <cell r="C80"/>
          <cell r="D80"/>
        </row>
        <row r="81">
          <cell r="A81">
            <v>577</v>
          </cell>
          <cell r="B81" t="str">
            <v>SUBSIDIO SEGURIDAD PÚBLICA MUNICIPAL</v>
          </cell>
          <cell r="C81"/>
          <cell r="D81"/>
        </row>
        <row r="82">
          <cell r="A82">
            <v>578</v>
          </cell>
          <cell r="B82" t="str">
            <v>FIDEICOMISO PARA LA INFRAESTRUCTURA DE LOS ESTADOS Ramo 23</v>
          </cell>
          <cell r="C82"/>
          <cell r="D82"/>
        </row>
        <row r="83">
          <cell r="A83">
            <v>579</v>
          </cell>
          <cell r="B83" t="str">
            <v>APOYO FINANCIERO EXTRAORDINARIO UABCS Ramo 11</v>
          </cell>
          <cell r="C83"/>
          <cell r="D83"/>
        </row>
        <row r="84">
          <cell r="A84">
            <v>580</v>
          </cell>
          <cell r="B84" t="str">
            <v>APOYO FINANCIERO EXTRAORDINARIO ISIFE Ramo 11</v>
          </cell>
          <cell r="C84"/>
          <cell r="D84"/>
        </row>
        <row r="85">
          <cell r="A85">
            <v>581</v>
          </cell>
          <cell r="B85" t="str">
            <v>SUBSIDIO POLICÍA ESTATAL ACREDITABLE (SPA)</v>
          </cell>
          <cell r="C85"/>
          <cell r="D85"/>
        </row>
        <row r="86">
          <cell r="A86">
            <v>582</v>
          </cell>
          <cell r="B86" t="str">
            <v>PROASP PROG. DE ALCANCE NAL. EN MAT. DE SEG. PUB. Ramo 04</v>
          </cell>
          <cell r="C86"/>
          <cell r="D86"/>
        </row>
        <row r="87">
          <cell r="A87">
            <v>583</v>
          </cell>
          <cell r="B87" t="str">
            <v>INGRESOS EXTRAORDINARIOS</v>
          </cell>
          <cell r="C87"/>
          <cell r="D87"/>
        </row>
        <row r="88">
          <cell r="A88">
            <v>584</v>
          </cell>
          <cell r="B88" t="str">
            <v>INGRESOS DERIVADOS DEL 5 AL MILLAR (OBRA)</v>
          </cell>
          <cell r="C88"/>
          <cell r="D88"/>
        </row>
        <row r="89">
          <cell r="A89">
            <v>585</v>
          </cell>
          <cell r="B89" t="str">
            <v>INGRESOS EXT Ramo 23 ( Provisiones Salariales y Económicas )</v>
          </cell>
          <cell r="C89"/>
          <cell r="D89"/>
        </row>
        <row r="90">
          <cell r="A90">
            <v>586</v>
          </cell>
          <cell r="B90" t="str">
            <v>INGRESOS EXT Ramo 21 (TURISMO)</v>
          </cell>
          <cell r="C90"/>
          <cell r="D90"/>
        </row>
        <row r="91">
          <cell r="A91">
            <v>587</v>
          </cell>
          <cell r="B91" t="str">
            <v>INGRESOS EXT Ramo 11 (SEP)</v>
          </cell>
          <cell r="C91"/>
          <cell r="D91"/>
        </row>
        <row r="92">
          <cell r="A92">
            <v>588</v>
          </cell>
          <cell r="B92" t="str">
            <v>INGRESOS EXT Ramo 09 (SCT)</v>
          </cell>
          <cell r="C92"/>
          <cell r="D92"/>
        </row>
        <row r="93">
          <cell r="A93">
            <v>589</v>
          </cell>
          <cell r="B93" t="str">
            <v>INGRESOS EXT Ramo 16 (SEMARNAT)</v>
          </cell>
          <cell r="C93"/>
          <cell r="D93"/>
        </row>
        <row r="94">
          <cell r="A94">
            <v>590</v>
          </cell>
          <cell r="B94" t="str">
            <v>INGRESOS EXT FORTASEG Ramo 04 (GOBERNACIÓN)</v>
          </cell>
          <cell r="C94"/>
          <cell r="D94"/>
        </row>
        <row r="95">
          <cell r="A95">
            <v>591</v>
          </cell>
          <cell r="B95" t="str">
            <v>INGRESOS EXT Ramo 20 (BIENESTAR)</v>
          </cell>
          <cell r="C95"/>
          <cell r="D95"/>
        </row>
        <row r="96">
          <cell r="A96">
            <v>598</v>
          </cell>
          <cell r="B96" t="str">
            <v>REMANENTE FONE 2016</v>
          </cell>
          <cell r="C96"/>
          <cell r="D96"/>
        </row>
        <row r="97">
          <cell r="A97">
            <v>599</v>
          </cell>
          <cell r="B97" t="str">
            <v>REMANENTE FONE 2015</v>
          </cell>
          <cell r="C97"/>
          <cell r="D97"/>
        </row>
        <row r="98">
          <cell r="A98">
            <v>700</v>
          </cell>
          <cell r="B98" t="str">
            <v>OTROS RECURSOS</v>
          </cell>
          <cell r="C98"/>
          <cell r="D98"/>
        </row>
        <row r="99">
          <cell r="A99">
            <v>736</v>
          </cell>
          <cell r="B99" t="str">
            <v>RENDIMIENTOS FONE</v>
          </cell>
          <cell r="C99"/>
          <cell r="D99"/>
        </row>
        <row r="100">
          <cell r="A100">
            <v>737</v>
          </cell>
          <cell r="B100" t="str">
            <v>RENDIMIENTOS FAM</v>
          </cell>
          <cell r="C100"/>
          <cell r="D100"/>
        </row>
        <row r="101">
          <cell r="A101">
            <v>747</v>
          </cell>
          <cell r="B101" t="str">
            <v>RENDIMIENTOS FASP</v>
          </cell>
          <cell r="C101"/>
          <cell r="D101"/>
        </row>
        <row r="102">
          <cell r="A102">
            <v>783</v>
          </cell>
          <cell r="B102" t="str">
            <v>INGRESOS EXTRAORDINARIOS (OTROS)</v>
          </cell>
          <cell r="C102"/>
          <cell r="D102"/>
        </row>
      </sheetData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4:Q149" totalsRowCount="1" headerRowDxfId="395" dataDxfId="394" totalsRowDxfId="393" headerRowCellStyle="Énfasis2">
  <autoFilter ref="B4:Q148" xr:uid="{00000000-0009-0000-0100-000001000000}"/>
  <tableColumns count="16">
    <tableColumn id="2" xr3:uid="{00000000-0010-0000-0000-000002000000}" name="RAMO/SUBRAMO" dataDxfId="392" totalsRowDxfId="391"/>
    <tableColumn id="4" xr3:uid="{00000000-0010-0000-0000-000004000000}" name="PROGRAMA PRESUPUESTARIO" dataDxfId="390" totalsRowDxfId="389"/>
    <tableColumn id="6" xr3:uid="{00000000-0010-0000-0000-000006000000}" name="FUENTE DE FINANCIAMIENTO" dataDxfId="388" totalsRowDxfId="387"/>
    <tableColumn id="7" xr3:uid="{00000000-0010-0000-0000-000007000000}" name="TIPO DE F.F." dataDxfId="386" totalsRowDxfId="385">
      <calculatedColumnFormula>IF(D5&lt;=0,"",VLOOKUP(D5,[1]FF!A:D,2,0))</calculatedColumnFormula>
    </tableColumn>
    <tableColumn id="8" xr3:uid="{00000000-0010-0000-0000-000008000000}" name="UNIDAD RESPONSABLE" dataDxfId="384" totalsRowDxfId="383"/>
    <tableColumn id="17" xr3:uid="{00000000-0010-0000-0000-000011000000}" name="CAPÍTULO" dataDxfId="382" totalsRowDxfId="381"/>
    <tableColumn id="9" xr3:uid="{00000000-0010-0000-0000-000009000000}" name="PARTIDA COG" dataDxfId="380" totalsRowDxfId="379"/>
    <tableColumn id="10" xr3:uid="{00000000-0010-0000-0000-00000A000000}" name="DESCRIPCIÓN PARTIDA COG" totalsRowLabel="TOTAL " dataDxfId="378" totalsRowDxfId="377">
      <calculatedColumnFormula>IF(H5&lt;=0,"",VLOOKUP(H5,COG!A:H,2,0))</calculatedColumnFormula>
    </tableColumn>
    <tableColumn id="13" xr3:uid="{00000000-0010-0000-0000-00000D000000}" name="TRIMESTRE  I" dataDxfId="376" totalsRowDxfId="375"/>
    <tableColumn id="12" xr3:uid="{00000000-0010-0000-0000-00000C000000}" name="TRIMESTRE II" dataDxfId="374" totalsRowDxfId="373"/>
    <tableColumn id="3" xr3:uid="{00000000-0010-0000-0000-000003000000}" name="TRIMESTRE III" dataDxfId="372" totalsRowDxfId="371"/>
    <tableColumn id="1" xr3:uid="{00000000-0010-0000-0000-000001000000}" name="TRIMESTRE IV" dataDxfId="370" totalsRowDxfId="369"/>
    <tableColumn id="15" xr3:uid="{00000000-0010-0000-0000-00000F000000}" name="PRESUPUESTO ANUAL AUTORIZADO " totalsRowFunction="sum" dataDxfId="368" totalsRowDxfId="367"/>
    <tableColumn id="16" xr3:uid="{00000000-0010-0000-0000-000010000000}" name="PROCEDIM. DE CONTRATACIÓN PROPUESTO" dataDxfId="366" totalsRowDxfId="365"/>
    <tableColumn id="5" xr3:uid="{00000000-0010-0000-0000-000005000000}" name="FECHA ESTIMADA PARA REALIZAR EL PROCEDIMIENTO" dataDxfId="364" totalsRowDxfId="363"/>
    <tableColumn id="11" xr3:uid="{00000000-0010-0000-0000-00000B000000}" name="FUNDAMENTO LEGAL" dataDxfId="362" totalsRowDxfId="361"/>
  </tableColumns>
  <tableStyleInfo name="TableStyleMedium2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8EEE4DC-A5E0-43B2-B963-03CB292D7338}" name="Tabla11" displayName="Tabla11" ref="B1338:Q1383" totalsRowCount="1" headerRowDxfId="102" dataDxfId="101" headerRowCellStyle="Énfasis2">
  <autoFilter ref="B1338:Q1382" xr:uid="{68EEE4DC-A5E0-43B2-B963-03CB292D7338}"/>
  <tableColumns count="16">
    <tableColumn id="1" xr3:uid="{2012A7DC-DBF9-40AA-9874-60E0CF0A2F03}" name="RAMO/SUBRAMO" dataDxfId="100" totalsRowDxfId="99"/>
    <tableColumn id="2" xr3:uid="{D428974F-E616-43A6-8A08-052D1D25162E}" name="PROGRAMA PRESUPUESTARIO" dataDxfId="98" totalsRowDxfId="97"/>
    <tableColumn id="3" xr3:uid="{FEE8C778-41DE-4BBA-A281-6A738F25A5E2}" name="FUENTE DE FINANCIAMIENTO" dataDxfId="96" totalsRowDxfId="95"/>
    <tableColumn id="4" xr3:uid="{1AF10C24-3313-406C-90B5-30156C503BEF}" name="TIPO DE F.F." dataDxfId="94" totalsRowDxfId="93">
      <calculatedColumnFormula>IF(D1339&lt;=0,"",VLOOKUP(D1339,[11]FF!A:D,2,0))</calculatedColumnFormula>
    </tableColumn>
    <tableColumn id="5" xr3:uid="{DC932068-F6A8-49A4-9C54-EAF5FA1CB3C8}" name="UNIDAD RESPONSABLE" dataDxfId="92" totalsRowDxfId="91"/>
    <tableColumn id="6" xr3:uid="{0A83815B-4BF2-4111-B730-C88F80F91E92}" name="CAPÍTULO" dataDxfId="90" totalsRowDxfId="89"/>
    <tableColumn id="7" xr3:uid="{5ADC9DC2-81B1-423E-AF80-7E7262341A3C}" name="PARTIDA COG" dataDxfId="88" totalsRowDxfId="87"/>
    <tableColumn id="8" xr3:uid="{41ADE8D9-3E73-493D-9525-4781AF886F75}" name="DESCRIPCIÓN PARTIDA COG" dataDxfId="86" totalsRowDxfId="85"/>
    <tableColumn id="9" xr3:uid="{EE00E490-6CEC-4318-B0DC-F96FAFE215FA}" name="TRIMESTRE  I" dataDxfId="84" totalsRowDxfId="83"/>
    <tableColumn id="10" xr3:uid="{5A79BC72-8ABF-47DE-AD54-AA0AAC9B0E4D}" name="TRIMESTRE II" dataDxfId="82" totalsRowDxfId="81"/>
    <tableColumn id="11" xr3:uid="{F4C943DC-30E4-4ED7-97FB-DC5EA3EDDEA1}" name="TRIMESTRE III" dataDxfId="80" totalsRowDxfId="79"/>
    <tableColumn id="12" xr3:uid="{0BAC8DDB-A4D9-4629-A0B5-36725EA8A921}" name="TRIMESTRE IV" dataDxfId="78" totalsRowDxfId="77"/>
    <tableColumn id="13" xr3:uid="{289C2E04-61C9-4212-99B9-629B22ECEDD0}" name="PRESUPUESTO ANUAL AUTORIZADO " totalsRowFunction="sum" dataDxfId="76" totalsRowDxfId="75">
      <calculatedColumnFormula>Tabla11[[#This Row],[TRIMESTRE  I]]+Tabla11[[#This Row],[TRIMESTRE II]]+Tabla11[[#This Row],[TRIMESTRE III]]+Tabla11[[#This Row],[TRIMESTRE IV]]</calculatedColumnFormula>
    </tableColumn>
    <tableColumn id="14" xr3:uid="{15CD93EE-B0B8-4B5C-8B28-F29AE35C7F73}" name="PROCEDIM. DE CONTRATACIÓN PROPUESTO" dataDxfId="74" totalsRowDxfId="73"/>
    <tableColumn id="15" xr3:uid="{D8C1D8FE-343F-4B65-9785-A03EEC80576E}" name="FECHA ESTIMADA PARA REALIZAR EL PROCEDIMIENTO" dataDxfId="72" totalsRowDxfId="71"/>
    <tableColumn id="16" xr3:uid="{13779574-1AB2-4477-A15F-2D48B869D920}" name="FUNDAMENTO LEGAL" dataDxfId="70" totalsRowDxfId="69"/>
  </tableColumns>
  <tableStyleInfo name="TableStyleMedium1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A72A963-1AC4-43F8-AE0E-DD3B6CEC5414}" name="Tabla3" displayName="Tabla3" ref="B878:Q928" totalsRowCount="1" headerRowDxfId="68" headerRowCellStyle="Énfasis2">
  <autoFilter ref="B878:Q927" xr:uid="{EA72A963-1AC4-43F8-AE0E-DD3B6CEC5414}"/>
  <tableColumns count="16">
    <tableColumn id="1" xr3:uid="{506706BC-AB4D-4B0A-BE9E-3993E93394B7}" name="RAMO/SUBRAMO" dataDxfId="67" totalsRowDxfId="66"/>
    <tableColumn id="2" xr3:uid="{9C332095-87CC-4601-8AD5-F2684FE975D2}" name="PROGRAMA PRESUPUESTARIO" dataDxfId="65" totalsRowDxfId="64"/>
    <tableColumn id="3" xr3:uid="{43DD73FF-3D7E-4E86-9368-46332E5D847C}" name="FUENTE DE FINANCIAMIENTO" dataDxfId="63" totalsRowDxfId="62"/>
    <tableColumn id="4" xr3:uid="{45A298DB-DD87-400E-81FE-4EBE0CAB40CA}" name="TIPO DE F.F." dataDxfId="61" totalsRowDxfId="60">
      <calculatedColumnFormula>IF(D879&lt;=0,"",VLOOKUP(D879,[5]FF!A:D,2,0))</calculatedColumnFormula>
    </tableColumn>
    <tableColumn id="5" xr3:uid="{37EAC4D1-86F4-4389-B49E-6171F3B4AA5B}" name="UNIDAD RESPONSABLE" dataDxfId="59" totalsRowDxfId="58"/>
    <tableColumn id="6" xr3:uid="{95208E05-6CB4-464B-BB59-8E5BCD4F2A82}" name="CAPÍTULO" dataDxfId="57" totalsRowDxfId="56"/>
    <tableColumn id="7" xr3:uid="{9C9C00F0-7851-4B73-8E23-3DB4030B1C17}" name="PARTIDA COG" dataDxfId="55" totalsRowDxfId="54"/>
    <tableColumn id="8" xr3:uid="{D54AECE5-827A-4185-9B85-9B1A8F249506}" name="DESCRIPCIÓN PARTIDA COG" dataDxfId="53" totalsRowDxfId="52">
      <calculatedColumnFormula>IF(H879&lt;=0,"",VLOOKUP(H879,[5]COG!A:H,2,0))</calculatedColumnFormula>
    </tableColumn>
    <tableColumn id="9" xr3:uid="{E4DC6D99-F361-4C14-9B72-B353D2AA4655}" name="TRIMESTRE  I" dataDxfId="51" totalsRowDxfId="50"/>
    <tableColumn id="10" xr3:uid="{2001DE76-C1A0-4B54-A8E4-D4407D6521A4}" name="TRIMESTRE II" dataDxfId="49" totalsRowDxfId="48"/>
    <tableColumn id="11" xr3:uid="{05BDD912-095B-4634-9807-FD8A323063F1}" name="TRIMESTRE III" dataDxfId="47" totalsRowDxfId="46"/>
    <tableColumn id="12" xr3:uid="{95A47150-BB4F-44F6-B64B-FB6425217C9A}" name="TRIMESTRE IV" dataDxfId="45" totalsRowDxfId="44"/>
    <tableColumn id="13" xr3:uid="{27633EAF-4F3C-4800-8A94-C2A1803FBED7}" name="PRESUPUESTO ANUAL AUTORIZADO " totalsRowFunction="sum" dataDxfId="43" totalsRowDxfId="42">
      <calculatedColumnFormula>Tabla3[[#This Row],[TRIMESTRE II]]+Tabla3[[#This Row],[TRIMESTRE  I]]+Tabla3[[#This Row],[TRIMESTRE III]]+Tabla3[[#This Row],[TRIMESTRE IV]]</calculatedColumnFormula>
    </tableColumn>
    <tableColumn id="14" xr3:uid="{D7A2C09E-DD15-4580-A34D-A37089482E87}" name="PROCEDIM. DE CONTRATACIÓN PROPUESTO" dataDxfId="41" totalsRowDxfId="40"/>
    <tableColumn id="15" xr3:uid="{11905D07-F11C-4D2E-A6C5-6ADF40CAA49D}" name="FECHA ESTIMADA PARA REALIZAR EL PROCEDIMIENTO" dataDxfId="39" totalsRowDxfId="38"/>
    <tableColumn id="16" xr3:uid="{19CEB1D4-5F35-4BFB-ABA1-B7CA9BD34032}" name="FUNDAMENTO LEGAL" dataDxfId="37" totalsRowDxfId="36"/>
  </tableColumns>
  <tableStyleInfo name="TableStyleMedium1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044F26-1829-4F7C-A10D-1F935486BE60}" name="Tabla12" displayName="Tabla12" ref="B1194:Q1333" totalsRowCount="1" headerRowDxfId="35" dataDxfId="34" headerRowCellStyle="Énfasis2">
  <autoFilter ref="B1194:Q1332" xr:uid="{D7044F26-1829-4F7C-A10D-1F935486BE60}"/>
  <tableColumns count="16">
    <tableColumn id="1" xr3:uid="{922ABD37-6BC7-438D-A4A1-52A2FA001FF4}" name="RAMO/SUBRAMO" dataDxfId="33" totalsRowDxfId="32"/>
    <tableColumn id="2" xr3:uid="{71515FCE-0CC8-4F1C-B508-D9290CE60492}" name="PROGRAMA PRESUPUESTARIO" dataDxfId="31" totalsRowDxfId="30"/>
    <tableColumn id="3" xr3:uid="{46480A86-0C09-4450-9005-398360A68BDC}" name="FUENTE DE FINANCIAMIENTO" dataDxfId="29" totalsRowDxfId="28"/>
    <tableColumn id="4" xr3:uid="{ACC2F052-DF7B-4DA6-BC6E-7480D5C9F469}" name="TIPO DE F.F." dataDxfId="27" totalsRowDxfId="26">
      <calculatedColumnFormula>IF(D1195&lt;=0,"",VLOOKUP(D1195,[10]FF!A:D,2,0))</calculatedColumnFormula>
    </tableColumn>
    <tableColumn id="5" xr3:uid="{FD0C173F-0B78-4FDA-A932-3F23D3532BA0}" name="UNIDAD RESPONSABLE" dataDxfId="25" totalsRowDxfId="24"/>
    <tableColumn id="6" xr3:uid="{0116431D-7CF0-4B52-9324-70D4E6C6898C}" name="CAPÍTULO" dataDxfId="23" totalsRowDxfId="22"/>
    <tableColumn id="7" xr3:uid="{68234155-BB04-41FD-BACF-39C5BDC93BD6}" name="PARTIDA COG" dataDxfId="21" totalsRowDxfId="20"/>
    <tableColumn id="8" xr3:uid="{18B8D972-36F8-406A-8E1E-A3512B5D2E83}" name="DESCRIPCIÓN PARTIDA COG" dataDxfId="19" totalsRowDxfId="18">
      <calculatedColumnFormula>IF(H1195&lt;=0,"",VLOOKUP(H1195,[10]COG!A:H,2,0))</calculatedColumnFormula>
    </tableColumn>
    <tableColumn id="9" xr3:uid="{C70455A1-F18C-4A0D-AA24-2AE8C928D335}" name="TRIMESTRE  I" dataDxfId="17" totalsRowDxfId="16"/>
    <tableColumn id="10" xr3:uid="{C705138A-73E0-4E5A-B9CC-369955743FC1}" name="TRIMESTRE II" dataDxfId="15" totalsRowDxfId="14"/>
    <tableColumn id="11" xr3:uid="{A25B92E1-948C-46E5-AD03-2A1DE22D1DCC}" name="TRIMESTRE III" dataDxfId="13" totalsRowDxfId="12"/>
    <tableColumn id="12" xr3:uid="{67301057-490C-4BD2-A33E-305F0028F138}" name="TRIMESTRE IV" dataDxfId="11" totalsRowDxfId="10"/>
    <tableColumn id="13" xr3:uid="{D1C2C16C-7FC4-4EFA-B8BB-B3B5664DEF38}" name="PRESUPUESTO ANUAL AUTORIZADO " totalsRowFunction="sum" dataDxfId="9" totalsRowDxfId="8">
      <calculatedColumnFormula>Tabla12[[#This Row],[TRIMESTRE  I]]+Tabla12[[#This Row],[TRIMESTRE II]]+Tabla12[[#This Row],[TRIMESTRE III]]+Tabla12[[#This Row],[TRIMESTRE IV]]</calculatedColumnFormula>
    </tableColumn>
    <tableColumn id="14" xr3:uid="{7575876B-E420-4B7B-87F8-B87573A91437}" name="PROCEDIM. DE CONTRATACIÓN PROPUESTO" dataDxfId="7" totalsRowDxfId="6"/>
    <tableColumn id="15" xr3:uid="{785B1456-2BA8-40F6-9057-B784D8930594}" name="FECHA ESTIMADA PARA REALIZAR EL PROCEDIMIENTO" dataDxfId="5" totalsRowDxfId="4"/>
    <tableColumn id="16" xr3:uid="{18E07564-DE82-4496-9DCA-DDD730FECA2A}" name="FUNDAMENTO LEGAL" dataDxfId="3" totalsRowDxfId="2"/>
  </tableColumns>
  <tableStyleInfo name="TableStyleMedium1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31F271D-4928-4941-B748-90709E6FC495}" name="Tabla13" displayName="Tabla13" ref="B1513:Q1549" totalsRowShown="0" headerRowDxfId="0" tableBorderDxfId="1" headerRowCellStyle="Énfasis2">
  <autoFilter ref="B1513:Q1549" xr:uid="{531F271D-4928-4941-B748-90709E6FC495}"/>
  <tableColumns count="16">
    <tableColumn id="1" xr3:uid="{582F20FA-51D3-43EF-9360-2CAA6D715E85}" name="RAMO/SUBRAMO"/>
    <tableColumn id="2" xr3:uid="{B014BE3D-4C75-4480-8832-37A1981C7ABA}" name="PROGRAMA PRESUPUESTARIO"/>
    <tableColumn id="3" xr3:uid="{EF0709E3-BF6D-4B15-B8A5-E868437B9E17}" name="FUENTE DE FINANCIAMIENTO"/>
    <tableColumn id="4" xr3:uid="{C471F2F6-6F91-4806-BC5A-4C9F5EC05279}" name="TIPO DE F.F."/>
    <tableColumn id="5" xr3:uid="{45B8246C-B84A-4AA2-8108-62BE945BC014}" name="UNIDAD RESPONSABLE"/>
    <tableColumn id="6" xr3:uid="{E41D78DE-7542-4EB4-8587-6B09A8F33AEF}" name="CAPÍTULO"/>
    <tableColumn id="7" xr3:uid="{81A468B8-1E8C-4F1E-B389-77FD7FDA86BF}" name="PARTIDA COG"/>
    <tableColumn id="8" xr3:uid="{66A98E7A-5348-47BE-9CFA-F425F519EDF5}" name="DESCRIPCIÓN PARTIDA COG"/>
    <tableColumn id="9" xr3:uid="{8089F175-52D6-44FA-B6B5-B3B22BCF8DA5}" name="TRIMESTRE  I"/>
    <tableColumn id="10" xr3:uid="{9A586215-C30C-4E8F-9C1F-1C470F25F1D7}" name="TRIMESTRE II"/>
    <tableColumn id="11" xr3:uid="{0E4F89DD-48CD-479D-8E86-53A03BB8E230}" name="TRIMESTRE III"/>
    <tableColumn id="12" xr3:uid="{B5533B02-DDC8-4906-8637-8DC126216B62}" name="TRIMESTRE IV"/>
    <tableColumn id="13" xr3:uid="{62615AD6-1B73-4845-8409-14C6ED6850BE}" name="PRESUPUESTO ANUAL AUTORIZADO "/>
    <tableColumn id="14" xr3:uid="{5ECF6399-EC93-497C-A6BC-11C4CFE40923}" name="PROCEDIM. DE CONTRATACIÓN PROPUESTO"/>
    <tableColumn id="15" xr3:uid="{D066514E-059F-430A-84B1-07B8F649A79A}" name="FECHA ESTIMADA PARA REALIZAR EL PROCEDIMIENTO"/>
    <tableColumn id="16" xr3:uid="{4271667F-8898-4833-9CD0-A0356040F67A}" name="FUNDAMENTO LEGAL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0347BF-3B99-4EB7-B4E8-CFA781A76C5D}" name="Tabla2" displayName="Tabla2" ref="B154:Q232" totalsRowCount="1" headerRowDxfId="360" dataDxfId="359" totalsRowDxfId="358" headerRowCellStyle="Énfasis2">
  <autoFilter ref="B154:Q231" xr:uid="{680347BF-3B99-4EB7-B4E8-CFA781A76C5D}"/>
  <tableColumns count="16">
    <tableColumn id="1" xr3:uid="{68BB75C0-365B-4CB2-B871-A728AFA04D19}" name="RAMO/SUBRAMO" dataDxfId="357" totalsRowDxfId="356"/>
    <tableColumn id="2" xr3:uid="{AB5628E7-F658-4874-B13B-BA4B6485EFEB}" name="PROGRAMA PRESUPUESTARIO" dataDxfId="355" totalsRowDxfId="354"/>
    <tableColumn id="3" xr3:uid="{A0599B8F-1338-467F-B611-773281A44278}" name="FUENTE DE FINANCIAMIENTO" dataDxfId="353" totalsRowDxfId="352"/>
    <tableColumn id="4" xr3:uid="{4C9934D3-75E4-4560-B6F6-5B4155EBDE09}" name="TIPO DE F.F." dataDxfId="351" totalsRowDxfId="350">
      <calculatedColumnFormula>IF(D155&lt;=0,"",VLOOKUP(D155,[1]FF!A:D,2,0))</calculatedColumnFormula>
    </tableColumn>
    <tableColumn id="5" xr3:uid="{F6172083-75BE-447B-8B19-637706E412F0}" name="UNIDAD RESPONSABLE" dataDxfId="349" totalsRowDxfId="348"/>
    <tableColumn id="6" xr3:uid="{90F5FB9A-AFE8-42EF-99DA-AE51BC628D68}" name="CAPÍTULO" dataDxfId="347" totalsRowDxfId="346"/>
    <tableColumn id="7" xr3:uid="{8D9ECD6B-F890-4D3A-8877-396B874B14EA}" name="PARTIDA COG" dataDxfId="345" totalsRowDxfId="344"/>
    <tableColumn id="8" xr3:uid="{9D55977C-957C-4B1B-9B13-6D4207A0CB66}" name="DESCRIPCIÓN PARTIDA COG" dataDxfId="343" totalsRowDxfId="342"/>
    <tableColumn id="9" xr3:uid="{1E2BFAAF-A31E-4FA5-9715-DA7B5E6B67AA}" name="TRIMESTRE  I" dataDxfId="341" totalsRowDxfId="340"/>
    <tableColumn id="10" xr3:uid="{506FD949-2425-4E22-90AA-0272CB03BF9F}" name="TRIMESTRE II" dataDxfId="339" totalsRowDxfId="338"/>
    <tableColumn id="11" xr3:uid="{0CDEB7D2-41A1-44FF-8E39-043DBB3F7DC8}" name="TRIMESTRE III" dataDxfId="337" totalsRowDxfId="336"/>
    <tableColumn id="12" xr3:uid="{77B02505-6C29-4DDA-A350-65314C7F49F8}" name="TRIMESTRE IV" dataDxfId="335" totalsRowDxfId="334"/>
    <tableColumn id="13" xr3:uid="{E579809A-9358-4E84-B0CB-60A226DBED5B}" name="PRESUPUESTO ANUAL AUTORIZADO " totalsRowFunction="sum" dataDxfId="333" totalsRowDxfId="332">
      <calculatedColumnFormula>Tabla2[[#This Row],[TRIMESTRE  I]]+Tabla2[[#This Row],[TRIMESTRE II]]+Tabla2[[#This Row],[TRIMESTRE III]]+Tabla2[[#This Row],[TRIMESTRE IV]]</calculatedColumnFormula>
    </tableColumn>
    <tableColumn id="14" xr3:uid="{36C9B33D-CFE4-45EB-9F08-0F371E4DA8A4}" name="PROCEDIM. DE CONTRATACIÓN PROPUESTO" dataDxfId="331" totalsRowDxfId="330"/>
    <tableColumn id="15" xr3:uid="{408F5889-36B8-439D-9BAB-E5A93A5ADA04}" name="FECHA ESTIMADA PARA REALIZAR EL PROCEDIMIENTO" dataDxfId="329" totalsRowDxfId="328"/>
    <tableColumn id="16" xr3:uid="{E010C5FB-5EBF-4CDE-9955-A2B94E8A4F3E}" name="FUNDAMENTO LEGAL" dataDxfId="327" totalsRowDxfId="326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22CE5F0-197B-40A3-AAB2-F62C42AE6BF5}" name="Tabla4" displayName="Tabla4" ref="B238:Q258" totalsRowCount="1" headerRowDxfId="325" dataDxfId="324" totalsRowDxfId="323" headerRowCellStyle="Énfasis2">
  <autoFilter ref="B238:Q257" xr:uid="{622CE5F0-197B-40A3-AAB2-F62C42AE6BF5}"/>
  <tableColumns count="16">
    <tableColumn id="1" xr3:uid="{0F2DCA42-CEB6-4B15-BB20-3BC1D5442A73}" name="RAMO/SUBRAMO" dataDxfId="322" totalsRowDxfId="321"/>
    <tableColumn id="2" xr3:uid="{78D71AC2-E5E5-496B-BF11-860637DAD995}" name="PROGRAMA PRESUPUESTARIO" dataDxfId="320" totalsRowDxfId="319"/>
    <tableColumn id="3" xr3:uid="{80D11A62-4FE3-414E-8770-63AC2DD5A023}" name="FUENTE DE FINANCIAMIENTO" dataDxfId="318" totalsRowDxfId="317"/>
    <tableColumn id="4" xr3:uid="{20DB2091-BED3-4801-8D19-9050BDEFC1BC}" name="TIPO DE F.F." dataDxfId="316" totalsRowDxfId="315">
      <calculatedColumnFormula>IF(D239&lt;=0,"",VLOOKUP(D239,[1]FF!A:D,2,0))</calculatedColumnFormula>
    </tableColumn>
    <tableColumn id="5" xr3:uid="{7104746E-CAEC-46ED-A4CB-6D51034B0649}" name="UNIDAD RESPONSABLE" dataDxfId="314" totalsRowDxfId="313"/>
    <tableColumn id="6" xr3:uid="{6C0D3630-6BDB-4440-958F-BACAC9FB3B64}" name="CAPÍTULO" dataDxfId="312" totalsRowDxfId="311"/>
    <tableColumn id="7" xr3:uid="{3448C2C4-52CF-4775-830D-CABE853C7F22}" name="PARTIDA COG" dataDxfId="310" totalsRowDxfId="309"/>
    <tableColumn id="8" xr3:uid="{0BED9F19-01D9-4A21-8F33-E03BB2984FA7}" name="DESCRIPCIÓN PARTIDA COG" dataDxfId="308" totalsRowDxfId="307">
      <calculatedColumnFormula>IF(H239&lt;=0,"",VLOOKUP(H239,[3]COG!A:H,2,0))</calculatedColumnFormula>
    </tableColumn>
    <tableColumn id="9" xr3:uid="{0E44C77C-AA6C-44A8-995F-ACF6E380559D}" name="TRIMESTRE  I" dataDxfId="306" totalsRowDxfId="305"/>
    <tableColumn id="10" xr3:uid="{2A4ECF60-B90D-4E56-BB88-FA068EA2D598}" name="TRIMESTRE II" dataDxfId="304" totalsRowDxfId="303"/>
    <tableColumn id="11" xr3:uid="{BF5FAB73-0921-4C4E-AEF4-A197E0EC2870}" name="TRIMESTRE III" dataDxfId="302" totalsRowDxfId="301"/>
    <tableColumn id="12" xr3:uid="{57D355C2-0C86-480C-8B29-9CA5FA02895E}" name="TRIMESTRE IV" dataDxfId="300" totalsRowDxfId="299"/>
    <tableColumn id="13" xr3:uid="{B9D3F306-43C8-4015-9F28-0DC6B36D391B}" name="PRESUPUESTO ANUAL AUTORIZADO " totalsRowFunction="sum" dataDxfId="298" totalsRowDxfId="297">
      <calculatedColumnFormula>Tabla4[[#This Row],[TRIMESTRE  I]]+Tabla4[[#This Row],[TRIMESTRE II]]+Tabla4[[#This Row],[TRIMESTRE III]]+Tabla4[[#This Row],[TRIMESTRE IV]]</calculatedColumnFormula>
    </tableColumn>
    <tableColumn id="14" xr3:uid="{EED1B12F-08F5-4747-B77D-4B38F014730E}" name="PROCEDIM. DE CONTRATACIÓN PROPUESTO" dataDxfId="296" totalsRowDxfId="295"/>
    <tableColumn id="15" xr3:uid="{5DE22FD4-07FA-48C4-AA0F-B7A16135C05B}" name="FECHA ESTIMADA PARA REALIZAR EL PROCEDIMIENTO" dataDxfId="294" totalsRowDxfId="293"/>
    <tableColumn id="16" xr3:uid="{C4341642-F783-4BA9-A53E-1757A8CD18A9}" name="FUNDAMENTO LEGAL" dataDxfId="292" totalsRowDxfId="291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1256D99-ACA2-45C3-9C97-CD57C2DB8937}" name="Tabla5" displayName="Tabla5" ref="B263:Q873" totalsRowCount="1" headerRowDxfId="290" dataDxfId="288" totalsRowDxfId="286" headerRowBorderDxfId="289" tableBorderDxfId="287" headerRowCellStyle="Énfasis2">
  <autoFilter ref="B263:Q872" xr:uid="{01256D99-ACA2-45C3-9C97-CD57C2DB8937}"/>
  <tableColumns count="16">
    <tableColumn id="1" xr3:uid="{71E9023D-5CA2-4E9A-A16A-5D584CB01C0D}" name="RAMO/SUBRAMO" dataDxfId="285" totalsRowDxfId="284"/>
    <tableColumn id="2" xr3:uid="{FB53B638-9346-4690-BACF-4571040F350B}" name="PROGRAMA PRESUPUESTARIO" dataDxfId="283" totalsRowDxfId="282"/>
    <tableColumn id="3" xr3:uid="{41C54988-9D0A-4220-862E-736B76536A9E}" name="FUENTE DE FINANCIAMIENTO" dataDxfId="281" totalsRowDxfId="280"/>
    <tableColumn id="4" xr3:uid="{F6688834-B1C4-4171-8199-409B9A8A1F06}" name="TIPO DE F.F." dataDxfId="279" totalsRowDxfId="278">
      <calculatedColumnFormula>IF(D264&lt;=0,"",VLOOKUP(D264,[1]FF!A:D,2,0))</calculatedColumnFormula>
    </tableColumn>
    <tableColumn id="5" xr3:uid="{FBDE2E8A-420F-44AE-8906-0E216B4D81A2}" name="UNIDAD RESPONSABLE" dataDxfId="277" totalsRowDxfId="276"/>
    <tableColumn id="6" xr3:uid="{D0DED631-413C-46BF-9772-F3D2A5AC868C}" name="CAPÍTULO" dataDxfId="275" totalsRowDxfId="274"/>
    <tableColumn id="7" xr3:uid="{4FCCF937-18C9-4375-9DC3-5ED95ABE4384}" name="PARTIDA COG" dataDxfId="273" totalsRowDxfId="272"/>
    <tableColumn id="8" xr3:uid="{C80F7760-EC20-42B7-9196-697377ABEA60}" name="DESCRIPCIÓN PARTIDA COG" dataDxfId="271" totalsRowDxfId="270">
      <calculatedColumnFormula>IF(H264&lt;=0,"",VLOOKUP(H264,[1]COG!A:H,2,0))</calculatedColumnFormula>
    </tableColumn>
    <tableColumn id="9" xr3:uid="{29DA6853-7264-41D0-BA4A-3844A7EBD34C}" name="TRIMESTRE  I" dataDxfId="269" totalsRowDxfId="268"/>
    <tableColumn id="10" xr3:uid="{5877E2B2-956E-4A3E-A91F-E9C1B7D83829}" name="TRIMESTRE II" dataDxfId="267" totalsRowDxfId="266"/>
    <tableColumn id="11" xr3:uid="{AA439242-A7FA-4E7A-8DCD-7392A4D63774}" name="TRIMESTRE III" dataDxfId="265" totalsRowDxfId="264"/>
    <tableColumn id="12" xr3:uid="{47C4999D-EF0B-4A8A-873F-5C2F070F0775}" name="TRIMESTRE IV" dataDxfId="263" totalsRowDxfId="262"/>
    <tableColumn id="13" xr3:uid="{7A9EE962-A116-4278-A590-81BCE1420455}" name="PRESUPUESTO ANUAL AUTORIZADO " totalsRowFunction="sum" dataDxfId="261" totalsRowDxfId="260">
      <calculatedColumnFormula>Tabla5[[#This Row],[TRIMESTRE  I]]+Tabla5[[#This Row],[TRIMESTRE II]]+Tabla5[[#This Row],[TRIMESTRE III]]+Tabla5[[#This Row],[TRIMESTRE IV]]</calculatedColumnFormula>
    </tableColumn>
    <tableColumn id="14" xr3:uid="{5430930C-FCA4-49D4-91DC-214B24B89524}" name="PROCEDIM. DE CONTRATACIÓN PROPUESTO" dataDxfId="259" totalsRowDxfId="258"/>
    <tableColumn id="15" xr3:uid="{9B4FD5EB-163E-4E7F-B9FE-E52A6086A5D8}" name="FECHA ESTIMADA PARA REALIZAR EL PROCEDIMIENTO" dataDxfId="257" totalsRowDxfId="256"/>
    <tableColumn id="16" xr3:uid="{43F5E1C7-FC93-4344-8D80-39690098D4D4}" name="FUNDAMENTO LEGAL" dataDxfId="255" totalsRowDxfId="254"/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14B669B-AF82-498A-B8D3-52EDC30EFBA4}" name="Tabla6" displayName="Tabla6" ref="B933:Q1012" totalsRowCount="1" headerRowDxfId="253" headerRowCellStyle="Énfasis2">
  <autoFilter ref="B933:Q1011" xr:uid="{C14B669B-AF82-498A-B8D3-52EDC30EFBA4}"/>
  <tableColumns count="16">
    <tableColumn id="1" xr3:uid="{2C62BEAF-F74F-4B8C-B5A8-2A386BB0BD2A}" name="RAMO/SUBRAMO" dataDxfId="252" totalsRowDxfId="251"/>
    <tableColumn id="2" xr3:uid="{8BFD0865-93B3-47CA-9C02-4770F4D45D75}" name="PROGRAMA PRESUPUESTARIO" dataDxfId="250" totalsRowDxfId="249"/>
    <tableColumn id="3" xr3:uid="{5C2B3F2A-E5C9-4FC0-B552-A76A42547909}" name="FUENTE DE FINANCIAMIENTO" dataDxfId="248" totalsRowDxfId="247"/>
    <tableColumn id="4" xr3:uid="{6DEAF0A4-1EC7-4702-8931-C2891E760254}" name="TIPO DE F.F." dataDxfId="246" totalsRowDxfId="245"/>
    <tableColumn id="5" xr3:uid="{17548970-86C6-4AB0-80F5-B2863F42E82D}" name="UNIDAD RESPONSABLE" dataDxfId="244" totalsRowDxfId="243"/>
    <tableColumn id="6" xr3:uid="{DD75E434-748A-402C-B403-19D0A9E9B730}" name="CAPÍTULO" dataDxfId="242" totalsRowDxfId="241"/>
    <tableColumn id="7" xr3:uid="{36BE0857-7BC3-40E5-B179-1A17FBC73E47}" name="PARTIDA COG" dataDxfId="240" totalsRowDxfId="239"/>
    <tableColumn id="8" xr3:uid="{4D4C50F8-8887-4265-AE6C-5135F7D2C749}" name="DESCRIPCIÓN PARTIDA COG" dataDxfId="238" totalsRowDxfId="237"/>
    <tableColumn id="9" xr3:uid="{A29A32A9-70C8-47AF-ADAA-B3B2B5732C6D}" name="TRIMESTRE  I" dataDxfId="236" totalsRowDxfId="235"/>
    <tableColumn id="10" xr3:uid="{F9E28828-4081-4C66-9738-F0492228EC12}" name="TRIMESTRE II" dataDxfId="234" totalsRowDxfId="233"/>
    <tableColumn id="11" xr3:uid="{7440321E-B23D-400E-A50B-1E1B7D608B10}" name="TRIMESTRE III" dataDxfId="232" totalsRowDxfId="231"/>
    <tableColumn id="12" xr3:uid="{029D763E-360F-4063-AD61-58002BE64E90}" name="TRIMESTRE IV" dataDxfId="230" totalsRowDxfId="229"/>
    <tableColumn id="13" xr3:uid="{835CEA6A-08FF-4978-94EF-9A8A8AFA21B3}" name="PRESUPUESTO ANUAL AUTORIZADO " totalsRowFunction="sum" dataDxfId="228" totalsRowDxfId="227">
      <calculatedColumnFormula>Tabla6[[#This Row],[TRIMESTRE  I]]+Tabla6[[#This Row],[TRIMESTRE II]]+Tabla6[[#This Row],[TRIMESTRE III]]+Tabla6[[#This Row],[TRIMESTRE IV]]</calculatedColumnFormula>
    </tableColumn>
    <tableColumn id="14" xr3:uid="{BA36F1A6-ACFB-427E-8643-3B30980739BD}" name="PROCEDIM. DE CONTRATACIÓN PROPUESTO" dataDxfId="226" totalsRowDxfId="225"/>
    <tableColumn id="15" xr3:uid="{B36326A5-DE00-42CA-9683-41198D3E4C0E}" name="FECHA ESTIMADA PARA REALIZAR EL PROCEDIMIENTO" dataDxfId="224" totalsRowDxfId="223"/>
    <tableColumn id="16" xr3:uid="{D8317105-2957-4D22-BDD4-0A5DCB2504DF}" name="FUNDAMENTO LEGAL" dataDxfId="222" totalsRowDxfId="221"/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CAB432-6E72-4BE4-879E-EB24D3FFAAA1}" name="Tabla7" displayName="Tabla7" ref="B1017:Q1046" totalsRowCount="1" headerRowDxfId="220" headerRowCellStyle="Énfasis2">
  <autoFilter ref="B1017:Q1045" xr:uid="{24CAB432-6E72-4BE4-879E-EB24D3FFAAA1}"/>
  <tableColumns count="16">
    <tableColumn id="1" xr3:uid="{90A1140A-F756-484D-8A20-56720CAA24DD}" name="RAMO/SUBRAMO" dataDxfId="219" totalsRowDxfId="218"/>
    <tableColumn id="2" xr3:uid="{7C1CB44E-EA24-43AD-A1FB-F8B8CF92B5D2}" name="PROGRAMA PRESUPUESTARIO" dataDxfId="217" totalsRowDxfId="216"/>
    <tableColumn id="3" xr3:uid="{F96F17C1-8BF4-4449-A15D-72A7CBA214C5}" name="FUENTE DE FINANCIAMIENTO" dataDxfId="215" totalsRowDxfId="214"/>
    <tableColumn id="4" xr3:uid="{B1A955AB-4078-40AA-939B-98D133F81269}" name="TIPO DE F.F." dataDxfId="213" totalsRowDxfId="212">
      <calculatedColumnFormula>IF(D1018&lt;=0,"",VLOOKUP(D1018,[8]FF!A:D,2,0))</calculatedColumnFormula>
    </tableColumn>
    <tableColumn id="5" xr3:uid="{E4DC5676-8F55-4C73-8ADF-38EAFC9C633A}" name="UNIDAD RESPONSABLE" dataDxfId="211" totalsRowDxfId="210"/>
    <tableColumn id="6" xr3:uid="{343AE435-64C8-461D-A321-AEAC62E0BB1B}" name="CAPÍTULO" dataDxfId="209" totalsRowDxfId="208"/>
    <tableColumn id="7" xr3:uid="{779ADB0E-3290-4097-B82B-9F5D9582C380}" name="PARTIDA COG" dataDxfId="207" totalsRowDxfId="206"/>
    <tableColumn id="8" xr3:uid="{81287C88-7AD0-49E9-B550-1458195DEC85}" name="DESCRIPCIÓN PARTIDA COG" dataDxfId="205" totalsRowDxfId="204">
      <calculatedColumnFormula>IF(H1018&lt;=0,"",VLOOKUP(H1018,[8]COG!A:H,2,0))</calculatedColumnFormula>
    </tableColumn>
    <tableColumn id="9" xr3:uid="{EB4A6E77-C25D-4759-9F4B-8268BF7ACF86}" name="TRIMESTRE  I" dataDxfId="203" totalsRowDxfId="202"/>
    <tableColumn id="10" xr3:uid="{CC19EB56-FE1A-48B1-B8D9-1F377B77857B}" name="TRIMESTRE II" dataDxfId="201" totalsRowDxfId="200"/>
    <tableColumn id="11" xr3:uid="{18FCDE0C-9C1B-41F2-BB36-9A82B2EBD504}" name="TRIMESTRE III" dataDxfId="199" totalsRowDxfId="198"/>
    <tableColumn id="12" xr3:uid="{C4E10289-EF12-43F6-BD28-12F2F4448FF2}" name="TRIMESTRE IV" dataDxfId="197" totalsRowDxfId="196"/>
    <tableColumn id="13" xr3:uid="{62A3B734-1282-4C8B-A453-CE3C3F58B760}" name="PRESUPUESTO ANUAL AUTORIZADO " totalsRowFunction="sum" dataDxfId="195" totalsRowDxfId="194">
      <calculatedColumnFormula>Tabla7[[#This Row],[TRIMESTRE  I]]+Tabla7[[#This Row],[TRIMESTRE II]]+Tabla7[[#This Row],[TRIMESTRE III]]+Tabla7[[#This Row],[TRIMESTRE IV]]</calculatedColumnFormula>
    </tableColumn>
    <tableColumn id="14" xr3:uid="{ABEB10E9-6A43-4079-BBF0-785D272FB06F}" name="PROCEDIM. DE CONTRATACIÓN PROPUESTO" dataDxfId="193" totalsRowDxfId="192"/>
    <tableColumn id="15" xr3:uid="{83201499-82BA-4D56-A984-49AEB200577B}" name="FECHA ESTIMADA PARA REALIZAR EL PROCEDIMIENTO" dataDxfId="191" totalsRowDxfId="190"/>
    <tableColumn id="16" xr3:uid="{40BFB780-F5E6-4C42-875F-121583971D4E}" name="FUNDAMENTO LEGAL" dataDxfId="189" totalsRowDxfId="188"/>
  </tableColumns>
  <tableStyleInfo name="TableStyleMedium1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221FB08-6920-48F2-848C-52F5A304E959}" name="Tabla8" displayName="Tabla8" ref="B1052:Q1167" totalsRowCount="1" headerRowDxfId="187" dataDxfId="186" headerRowCellStyle="Énfasis2">
  <autoFilter ref="B1052:Q1166" xr:uid="{2221FB08-6920-48F2-848C-52F5A304E959}"/>
  <tableColumns count="16">
    <tableColumn id="1" xr3:uid="{6FF6D7BB-CE8C-49B8-A153-D647AC85242A}" name="RAMO/SUBRAMO" dataDxfId="185" totalsRowDxfId="184"/>
    <tableColumn id="2" xr3:uid="{CA6D1952-F19E-4247-9F5A-304F9E3A87EE}" name="PROGRAMA PRESUPUESTARIO" dataDxfId="183" totalsRowDxfId="182"/>
    <tableColumn id="3" xr3:uid="{2748EDA0-4269-4885-97CF-44386D1BE807}" name="FUENTE DE FINANCIAMIENTO" dataDxfId="181" totalsRowDxfId="180"/>
    <tableColumn id="4" xr3:uid="{86555F2D-7B9C-420F-B6E0-778236724469}" name="TIPO DE F.F." dataDxfId="179" totalsRowDxfId="178">
      <calculatedColumnFormula>IF(D1053&lt;=0,"",VLOOKUP(D1053,[9]FF!A:D,2,0))</calculatedColumnFormula>
    </tableColumn>
    <tableColumn id="5" xr3:uid="{D988A0A6-B517-4B15-8C8F-7856E40A6E63}" name="UNIDAD RESPONSABLE" dataDxfId="177" totalsRowDxfId="176"/>
    <tableColumn id="6" xr3:uid="{553CBF62-9E86-4E1A-8DFE-060510FDA65B}" name="CAPÍTULO" dataDxfId="175" totalsRowDxfId="174"/>
    <tableColumn id="7" xr3:uid="{75265019-39A4-4AA8-9BB7-196B74618E6D}" name="PARTIDA COG" dataDxfId="173" totalsRowDxfId="172"/>
    <tableColumn id="8" xr3:uid="{A5AD9274-9734-4C25-91FE-E688F6D60910}" name="DESCRIPCIÓN PARTIDA COG" dataDxfId="171" totalsRowDxfId="170">
      <calculatedColumnFormula>IF(H1053&lt;=0,"",VLOOKUP(H1053,[9]COG!A:H,2,0))</calculatedColumnFormula>
    </tableColumn>
    <tableColumn id="9" xr3:uid="{8ABA4742-6745-46FA-8C8A-0FF4EC2C1281}" name="TRIMESTRE  I" dataDxfId="169" totalsRowDxfId="168"/>
    <tableColumn id="10" xr3:uid="{78E4DC47-CE17-4199-A752-7C35EBD44D55}" name="TRIMESTRE II" dataDxfId="167" totalsRowDxfId="166"/>
    <tableColumn id="11" xr3:uid="{190F442A-4010-4CD4-9F8C-7EAE2A12F26E}" name="TRIMESTRE III" dataDxfId="165" totalsRowDxfId="164"/>
    <tableColumn id="12" xr3:uid="{67C71E19-F6D0-4D86-A89E-3B85B0BADE32}" name="TRIMESTRE IV" dataDxfId="163" totalsRowDxfId="162"/>
    <tableColumn id="13" xr3:uid="{521EC68F-CDFC-4F65-96CB-3FBD5C7342EC}" name="PRESUPUESTO ANUAL AUTORIZADO " totalsRowFunction="sum" dataDxfId="161" totalsRowDxfId="160">
      <calculatedColumnFormula>Tabla8[[#This Row],[TRIMESTRE  I]]+Tabla8[[#This Row],[TRIMESTRE II]]+Tabla8[[#This Row],[TRIMESTRE III]]+Tabla8[[#This Row],[TRIMESTRE IV]]</calculatedColumnFormula>
    </tableColumn>
    <tableColumn id="14" xr3:uid="{92CC20CB-E576-4901-9FDB-FB6ED037FD81}" name="PROCEDIM. DE CONTRATACIÓN PROPUESTO" dataDxfId="159" totalsRowDxfId="158"/>
    <tableColumn id="15" xr3:uid="{619E6CA1-2BB1-4531-A5D1-D9B29F14E3FD}" name="FECHA ESTIMADA PARA REALIZAR EL PROCEDIMIENTO" dataDxfId="157" totalsRowDxfId="156"/>
    <tableColumn id="16" xr3:uid="{E5DE9F4B-A002-405A-AD14-41EA093BEC3F}" name="FUNDAMENTO LEGAL" dataDxfId="155" totalsRowDxfId="154"/>
  </tableColumns>
  <tableStyleInfo name="TableStyleMedium1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B1AE138-6DFA-495E-B979-B8A91B41388C}" name="Tabla9" displayName="Tabla9" ref="B1172:Q1189" totalsRowCount="1" headerRowDxfId="153" headerRowCellStyle="Énfasis2">
  <autoFilter ref="B1172:Q1188" xr:uid="{AB1AE138-6DFA-495E-B979-B8A91B41388C}"/>
  <tableColumns count="16">
    <tableColumn id="1" xr3:uid="{8FFB3C6D-8160-43EB-BA0C-1D5FE0556359}" name="RAMO/SUBRAMO" dataDxfId="152" totalsRowDxfId="151"/>
    <tableColumn id="2" xr3:uid="{93D69150-7C37-43EE-B654-F16B9F5879BA}" name="PROGRAMA PRESUPUESTARIO" dataDxfId="150" totalsRowDxfId="149"/>
    <tableColumn id="3" xr3:uid="{D52180EA-5BD3-44CC-BA80-89E81334F23F}" name="FUENTE DE FINANCIAMIENTO" dataDxfId="148" totalsRowDxfId="147"/>
    <tableColumn id="4" xr3:uid="{D773FED5-F52B-4277-87C9-15EE5D3889D2}" name="TIPO DE F.F." dataDxfId="146" totalsRowDxfId="145"/>
    <tableColumn id="5" xr3:uid="{A7540BD9-9382-4D4D-BD00-B7CDCC0F8195}" name="UNIDAD RESPONSABLE" dataDxfId="144" totalsRowDxfId="143"/>
    <tableColumn id="6" xr3:uid="{2A75580F-EF68-4187-B383-63A2D25C5D8E}" name="CAPÍTULO" dataDxfId="142" totalsRowDxfId="141"/>
    <tableColumn id="7" xr3:uid="{2DAA3ED5-0DC6-437F-9450-5D09B902A573}" name="PARTIDA COG" dataDxfId="140" totalsRowDxfId="139"/>
    <tableColumn id="8" xr3:uid="{65947D92-3391-48D6-AF2B-E3CCE42DC265}" name="DESCRIPCIÓN PARTIDA COG" dataDxfId="138" totalsRowDxfId="137"/>
    <tableColumn id="9" xr3:uid="{603CF1DA-08AA-483B-84AB-39C40C796EC6}" name="TRIMESTRE  I" dataDxfId="136" totalsRowDxfId="135"/>
    <tableColumn id="10" xr3:uid="{DB5BCA12-89A9-4E73-818B-F68C00CA5104}" name="TRIMESTRE II" dataDxfId="134" totalsRowDxfId="133"/>
    <tableColumn id="11" xr3:uid="{2F1BCB4E-D38D-48E9-9C2A-0BBB71E00EA3}" name="TRIMESTRE III" dataDxfId="132" totalsRowDxfId="131"/>
    <tableColumn id="12" xr3:uid="{40207E2D-B631-4C4A-BC86-49E384C53609}" name="TRIMESTRE IV" dataDxfId="130" totalsRowDxfId="129"/>
    <tableColumn id="13" xr3:uid="{D5572BC2-F0F7-4CD5-886B-563A492DFC00}" name="PRESUPUESTO ANUAL AUTORIZADO " totalsRowFunction="sum" dataDxfId="128" totalsRowDxfId="127"/>
    <tableColumn id="14" xr3:uid="{77C415D5-E21D-457A-9587-A85618A32F2F}" name="PROCEDIM. DE CONTRATACIÓN PROPUESTO" dataDxfId="126" totalsRowDxfId="125"/>
    <tableColumn id="15" xr3:uid="{C4EAAE82-9858-4E56-80B0-2BA9494B80C6}" name="FECHA ESTIMADA PARA REALIZAR EL PROCEDIMIENTO" dataDxfId="124" totalsRowDxfId="123"/>
    <tableColumn id="16" xr3:uid="{A95D260D-1EBF-4981-9F27-6E4E7CC0D4AC}" name="FUNDAMENTO LEGAL" dataDxfId="122" totalsRowDxfId="121"/>
  </tableColumns>
  <tableStyleInfo name="TableStyleMedium1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5414E6B-8CD9-4AA2-A100-72608BC15E03}" name="Tabla10" displayName="Tabla10" ref="B1388:Q1508" totalsRowShown="0" headerRowDxfId="120" dataDxfId="119" headerRowCellStyle="Énfasis2">
  <autoFilter ref="B1388:Q1508" xr:uid="{25414E6B-8CD9-4AA2-A100-72608BC15E03}"/>
  <tableColumns count="16">
    <tableColumn id="1" xr3:uid="{A9056B62-E433-4BF3-B1A0-C3924373D1F6}" name="RAMO/SUBRAMO" dataDxfId="118"/>
    <tableColumn id="2" xr3:uid="{5E103FCE-A33E-43F8-95BA-36675D8A2DF7}" name="PROGRAMA PRESUPUESTARIO" dataDxfId="117"/>
    <tableColumn id="3" xr3:uid="{46510DE3-D936-481E-8AF7-9C4D350FFD87}" name="FUENTE DE FINANCIAMIENTO" dataDxfId="116"/>
    <tableColumn id="4" xr3:uid="{8CACD734-0542-4C99-AD1B-F9F0647309FD}" name="TIPO DE F.F." dataDxfId="115"/>
    <tableColumn id="5" xr3:uid="{E068BF5C-0BEF-4722-BAAF-857D261240A5}" name="UNIDAD RESPONSABLE" dataDxfId="114"/>
    <tableColumn id="6" xr3:uid="{580A93C9-AF2F-4CF6-8C5A-2D61A402509A}" name="CAPÍTULO" dataDxfId="113"/>
    <tableColumn id="7" xr3:uid="{BA3D2C38-B469-4DE8-B035-29830F016C19}" name="PARTIDA COG" dataDxfId="112"/>
    <tableColumn id="8" xr3:uid="{8FE6C66D-7574-417F-923B-F923622D6AD0}" name="DESCRIPCIÓN PARTIDA COG" dataDxfId="111"/>
    <tableColumn id="9" xr3:uid="{77B99A29-BC3B-4A3B-87F8-C3B0AA8D090A}" name="TRIMESTRE  I" dataDxfId="110"/>
    <tableColumn id="10" xr3:uid="{5A5A3244-51DD-4568-AF38-44811EC7612E}" name="TRIMESTRE II" dataDxfId="109"/>
    <tableColumn id="11" xr3:uid="{A322366C-514E-4C37-96B2-8E7E47DFAB0A}" name="TRIMESTRE III" dataDxfId="108"/>
    <tableColumn id="12" xr3:uid="{E1F0C3BB-801B-4B44-B7CC-BD0790BEB51B}" name="TRIMESTRE IV" dataDxfId="107"/>
    <tableColumn id="13" xr3:uid="{7AB4E8B1-6CCA-4125-98C1-C5D83E3E091B}" name="PRESUPUESTO ANUAL AUTORIZADO " dataDxfId="106"/>
    <tableColumn id="14" xr3:uid="{6AEF0DAD-15C3-46AA-AE97-A4DF924B1327}" name="PROCEDIM. DE CONTRATACIÓN PROPUESTO" dataDxfId="105"/>
    <tableColumn id="15" xr3:uid="{F453FA66-287E-4563-A354-89C81F7BCA89}" name="FECHA ESTIMADA PARA REALIZAR EL PROCEDIMIENTO" dataDxfId="104"/>
    <tableColumn id="16" xr3:uid="{5DF2DA43-457C-4B86-9021-10C23504C1BF}" name="FUNDAMENTO LEGAL" dataDxfId="103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1549"/>
  <sheetViews>
    <sheetView tabSelected="1" topLeftCell="A1497" zoomScale="90" zoomScaleNormal="90" workbookViewId="0">
      <selection activeCell="A1510" sqref="A1510:Q1549"/>
    </sheetView>
  </sheetViews>
  <sheetFormatPr baseColWidth="10" defaultColWidth="11.42578125" defaultRowHeight="12.75" x14ac:dyDescent="0.2"/>
  <cols>
    <col min="1" max="1" width="3" style="89" customWidth="1"/>
    <col min="2" max="2" width="12.42578125" style="89" customWidth="1"/>
    <col min="3" max="3" width="15.7109375" style="89" customWidth="1"/>
    <col min="4" max="4" width="17.140625" style="89" customWidth="1"/>
    <col min="5" max="5" width="17.42578125" style="89" customWidth="1"/>
    <col min="6" max="6" width="20.85546875" style="99" customWidth="1"/>
    <col min="7" max="7" width="12.42578125" style="99" customWidth="1"/>
    <col min="8" max="8" width="15.28515625" style="89" customWidth="1"/>
    <col min="9" max="9" width="27.5703125" style="89" customWidth="1"/>
    <col min="10" max="10" width="16.85546875" style="89" bestFit="1" customWidth="1"/>
    <col min="11" max="11" width="17.42578125" style="89" customWidth="1"/>
    <col min="12" max="12" width="17.5703125" style="89" customWidth="1"/>
    <col min="13" max="13" width="16.7109375" style="89" customWidth="1"/>
    <col min="14" max="14" width="18.7109375" style="89" customWidth="1"/>
    <col min="15" max="15" width="20" style="100" customWidth="1"/>
    <col min="16" max="16" width="18.42578125" style="100" customWidth="1"/>
    <col min="17" max="17" width="17.5703125" style="100" customWidth="1"/>
    <col min="18" max="16384" width="11.42578125" style="89"/>
  </cols>
  <sheetData>
    <row r="1" spans="2:17" ht="23.25" x14ac:dyDescent="0.2">
      <c r="B1" s="111" t="s">
        <v>4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2:17" ht="23.25" x14ac:dyDescent="0.2">
      <c r="B2" s="109" t="s">
        <v>739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2:17" ht="23.25" x14ac:dyDescent="0.2">
      <c r="B3" s="110" t="s">
        <v>466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2:17" s="90" customFormat="1" ht="45" x14ac:dyDescent="0.2">
      <c r="B4" s="5" t="s">
        <v>9</v>
      </c>
      <c r="C4" s="5" t="s">
        <v>10</v>
      </c>
      <c r="D4" s="5" t="s">
        <v>1</v>
      </c>
      <c r="E4" s="5" t="s">
        <v>0</v>
      </c>
      <c r="F4" s="78" t="s">
        <v>17</v>
      </c>
      <c r="G4" s="5" t="s">
        <v>2</v>
      </c>
      <c r="H4" s="5" t="s">
        <v>11</v>
      </c>
      <c r="I4" s="5" t="s">
        <v>16</v>
      </c>
      <c r="J4" s="5" t="s">
        <v>465</v>
      </c>
      <c r="K4" s="5" t="s">
        <v>462</v>
      </c>
      <c r="L4" s="5" t="s">
        <v>463</v>
      </c>
      <c r="M4" s="5" t="s">
        <v>464</v>
      </c>
      <c r="N4" s="5" t="s">
        <v>12</v>
      </c>
      <c r="O4" s="5" t="s">
        <v>3</v>
      </c>
      <c r="P4" s="5" t="s">
        <v>13</v>
      </c>
      <c r="Q4" s="5" t="s">
        <v>8</v>
      </c>
    </row>
    <row r="5" spans="2:17" ht="22.5" x14ac:dyDescent="0.2">
      <c r="B5" s="34">
        <v>201</v>
      </c>
      <c r="C5" s="35" t="s">
        <v>467</v>
      </c>
      <c r="D5" s="36">
        <v>530</v>
      </c>
      <c r="E5" s="42" t="str">
        <f>IF(D5&lt;=0,"",VLOOKUP(D5,[1]FF!A:D,2,0))</f>
        <v>PARTICIPACIONES Ramo 28</v>
      </c>
      <c r="F5" s="37" t="s">
        <v>468</v>
      </c>
      <c r="G5" s="37" t="s">
        <v>461</v>
      </c>
      <c r="H5" s="38">
        <v>211001</v>
      </c>
      <c r="I5" s="41" t="str">
        <f>IF(H5&lt;=0,"",VLOOKUP(H5,COG!A:H,2,0))</f>
        <v>Material de oficina</v>
      </c>
      <c r="J5" s="39">
        <v>16635</v>
      </c>
      <c r="K5" s="39">
        <v>16639</v>
      </c>
      <c r="L5" s="39">
        <v>16641</v>
      </c>
      <c r="M5" s="39">
        <v>16641</v>
      </c>
      <c r="N5" s="1">
        <f>SUM(Tabla1[[#This Row],[TRIMESTRE  I]:[TRIMESTRE IV]])</f>
        <v>66556</v>
      </c>
      <c r="O5" s="39" t="s">
        <v>5</v>
      </c>
      <c r="P5" s="39" t="s">
        <v>469</v>
      </c>
      <c r="Q5" s="59" t="s">
        <v>470</v>
      </c>
    </row>
    <row r="6" spans="2:17" ht="22.5" x14ac:dyDescent="0.2">
      <c r="B6" s="34">
        <v>201</v>
      </c>
      <c r="C6" s="35" t="s">
        <v>467</v>
      </c>
      <c r="D6" s="36">
        <v>530</v>
      </c>
      <c r="E6" s="42" t="str">
        <f>IF(D6&lt;=0,"",VLOOKUP(D6,[1]FF!A:D,2,0))</f>
        <v>PARTICIPACIONES Ramo 28</v>
      </c>
      <c r="F6" s="37" t="s">
        <v>468</v>
      </c>
      <c r="G6" s="37" t="s">
        <v>461</v>
      </c>
      <c r="H6" s="38">
        <v>212001</v>
      </c>
      <c r="I6" s="41" t="str">
        <f>IF(H6&lt;=0,"",VLOOKUP(H6,COG!A:H,2,0))</f>
        <v>Material y útiles de impresión</v>
      </c>
      <c r="J6" s="39">
        <v>12307</v>
      </c>
      <c r="K6" s="39">
        <v>12309</v>
      </c>
      <c r="L6" s="39">
        <v>12306</v>
      </c>
      <c r="M6" s="39">
        <v>12306</v>
      </c>
      <c r="N6" s="1">
        <f>SUM(Tabla1[[#This Row],[TRIMESTRE  I]:[TRIMESTRE IV]])</f>
        <v>49228</v>
      </c>
      <c r="O6" s="39" t="s">
        <v>6</v>
      </c>
      <c r="P6" s="39" t="s">
        <v>469</v>
      </c>
      <c r="Q6" s="59" t="s">
        <v>471</v>
      </c>
    </row>
    <row r="7" spans="2:17" ht="22.5" x14ac:dyDescent="0.2">
      <c r="B7" s="34">
        <v>201</v>
      </c>
      <c r="C7" s="35" t="s">
        <v>467</v>
      </c>
      <c r="D7" s="36">
        <v>530</v>
      </c>
      <c r="E7" s="42" t="str">
        <f>IF(D7&lt;=0,"",VLOOKUP(D7,[1]FF!A:D,2,0))</f>
        <v>PARTICIPACIONES Ramo 28</v>
      </c>
      <c r="F7" s="37" t="s">
        <v>468</v>
      </c>
      <c r="G7" s="37" t="s">
        <v>461</v>
      </c>
      <c r="H7" s="38">
        <v>216001</v>
      </c>
      <c r="I7" s="41" t="str">
        <f>IF(H7&lt;=0,"",VLOOKUP(H7,COG!A:H,2,0))</f>
        <v>Material de limpieza</v>
      </c>
      <c r="J7" s="39">
        <v>9084</v>
      </c>
      <c r="K7" s="39">
        <v>9086</v>
      </c>
      <c r="L7" s="39">
        <v>9087</v>
      </c>
      <c r="M7" s="39">
        <v>9087</v>
      </c>
      <c r="N7" s="1">
        <f>SUM(Tabla1[[#This Row],[TRIMESTRE  I]:[TRIMESTRE IV]])</f>
        <v>36344</v>
      </c>
      <c r="O7" s="39" t="s">
        <v>5</v>
      </c>
      <c r="P7" s="39" t="s">
        <v>469</v>
      </c>
      <c r="Q7" s="59" t="s">
        <v>470</v>
      </c>
    </row>
    <row r="8" spans="2:17" ht="22.5" x14ac:dyDescent="0.2">
      <c r="B8" s="34">
        <v>201</v>
      </c>
      <c r="C8" s="35" t="s">
        <v>467</v>
      </c>
      <c r="D8" s="36">
        <v>530</v>
      </c>
      <c r="E8" s="42" t="str">
        <f>IF(D8&lt;=0,"",VLOOKUP(D8,[1]FF!A:D,2,0))</f>
        <v>PARTICIPACIONES Ramo 28</v>
      </c>
      <c r="F8" s="37" t="s">
        <v>468</v>
      </c>
      <c r="G8" s="37" t="s">
        <v>461</v>
      </c>
      <c r="H8" s="38">
        <v>221001</v>
      </c>
      <c r="I8" s="41" t="str">
        <f>IF(H8&lt;=0,"",VLOOKUP(H8,COG!A:H,2,0))</f>
        <v>Alimentación de personas</v>
      </c>
      <c r="J8" s="39">
        <v>65532</v>
      </c>
      <c r="K8" s="39">
        <v>65532</v>
      </c>
      <c r="L8" s="39">
        <v>65532</v>
      </c>
      <c r="M8" s="39">
        <v>65532</v>
      </c>
      <c r="N8" s="1">
        <f>SUM(Tabla1[[#This Row],[TRIMESTRE  I]:[TRIMESTRE IV]])</f>
        <v>262128</v>
      </c>
      <c r="O8" s="39" t="s">
        <v>6</v>
      </c>
      <c r="P8" s="39" t="s">
        <v>469</v>
      </c>
      <c r="Q8" s="59" t="s">
        <v>471</v>
      </c>
    </row>
    <row r="9" spans="2:17" ht="22.5" x14ac:dyDescent="0.2">
      <c r="B9" s="34">
        <v>201</v>
      </c>
      <c r="C9" s="35" t="s">
        <v>467</v>
      </c>
      <c r="D9" s="36">
        <v>530</v>
      </c>
      <c r="E9" s="42" t="str">
        <f>IF(D9&lt;=0,"",VLOOKUP(D9,[1]FF!A:D,2,0))</f>
        <v>PARTICIPACIONES Ramo 28</v>
      </c>
      <c r="F9" s="37" t="s">
        <v>468</v>
      </c>
      <c r="G9" s="37" t="s">
        <v>461</v>
      </c>
      <c r="H9" s="38">
        <v>246001</v>
      </c>
      <c r="I9" s="41" t="str">
        <f>IF(H9&lt;=0,"",VLOOKUP(H9,COG!A:H,2,0))</f>
        <v>Material eléctrico</v>
      </c>
      <c r="J9" s="39">
        <v>1938</v>
      </c>
      <c r="K9" s="39">
        <v>1938</v>
      </c>
      <c r="L9" s="39">
        <v>1938</v>
      </c>
      <c r="M9" s="39">
        <v>1933</v>
      </c>
      <c r="N9" s="1">
        <f>SUM(Tabla1[[#This Row],[TRIMESTRE  I]:[TRIMESTRE IV]])</f>
        <v>7747</v>
      </c>
      <c r="O9" s="39" t="s">
        <v>6</v>
      </c>
      <c r="P9" s="39" t="s">
        <v>469</v>
      </c>
      <c r="Q9" s="59" t="s">
        <v>471</v>
      </c>
    </row>
    <row r="10" spans="2:17" ht="22.5" x14ac:dyDescent="0.2">
      <c r="B10" s="34">
        <v>201</v>
      </c>
      <c r="C10" s="35" t="s">
        <v>467</v>
      </c>
      <c r="D10" s="36">
        <v>530</v>
      </c>
      <c r="E10" s="42" t="str">
        <f>IF(D10&lt;=0,"",VLOOKUP(D10,[1]FF!A:D,2,0))</f>
        <v>PARTICIPACIONES Ramo 28</v>
      </c>
      <c r="F10" s="37" t="s">
        <v>468</v>
      </c>
      <c r="G10" s="37" t="s">
        <v>461</v>
      </c>
      <c r="H10" s="38">
        <v>261001</v>
      </c>
      <c r="I10" s="41" t="str">
        <f>IF(H10&lt;=0,"",VLOOKUP(H10,COG!A:H,2,0))</f>
        <v>Combustibles</v>
      </c>
      <c r="J10" s="39">
        <v>229257</v>
      </c>
      <c r="K10" s="39">
        <v>229257</v>
      </c>
      <c r="L10" s="39">
        <v>229257</v>
      </c>
      <c r="M10" s="39">
        <v>194010</v>
      </c>
      <c r="N10" s="1">
        <f>SUM(Tabla1[[#This Row],[TRIMESTRE  I]:[TRIMESTRE IV]])</f>
        <v>881781</v>
      </c>
      <c r="O10" s="39" t="s">
        <v>5</v>
      </c>
      <c r="P10" s="79" t="s">
        <v>472</v>
      </c>
      <c r="Q10" s="59" t="s">
        <v>470</v>
      </c>
    </row>
    <row r="11" spans="2:17" ht="22.5" x14ac:dyDescent="0.2">
      <c r="B11" s="34">
        <v>201</v>
      </c>
      <c r="C11" s="35" t="s">
        <v>467</v>
      </c>
      <c r="D11" s="36">
        <v>530</v>
      </c>
      <c r="E11" s="42" t="str">
        <f>IF(D11&lt;=0,"",VLOOKUP(D11,[1]FF!A:D,2,0))</f>
        <v>PARTICIPACIONES Ramo 28</v>
      </c>
      <c r="F11" s="37" t="s">
        <v>468</v>
      </c>
      <c r="G11" s="37" t="s">
        <v>461</v>
      </c>
      <c r="H11" s="38">
        <v>271001</v>
      </c>
      <c r="I11" s="41" t="str">
        <f>IF(H11&lt;=0,"",VLOOKUP(H11,COG!A:H,2,0))</f>
        <v>Ropa, vestuario y equipo</v>
      </c>
      <c r="J11" s="39">
        <v>6027</v>
      </c>
      <c r="K11" s="39">
        <v>6027</v>
      </c>
      <c r="L11" s="39">
        <v>6027</v>
      </c>
      <c r="M11" s="39">
        <v>6026</v>
      </c>
      <c r="N11" s="1">
        <f>SUM(Tabla1[[#This Row],[TRIMESTRE  I]:[TRIMESTRE IV]])</f>
        <v>24107</v>
      </c>
      <c r="O11" s="39" t="s">
        <v>5</v>
      </c>
      <c r="P11" s="39" t="s">
        <v>469</v>
      </c>
      <c r="Q11" s="59" t="s">
        <v>470</v>
      </c>
    </row>
    <row r="12" spans="2:17" ht="22.5" x14ac:dyDescent="0.2">
      <c r="B12" s="34">
        <v>201</v>
      </c>
      <c r="C12" s="35" t="s">
        <v>467</v>
      </c>
      <c r="D12" s="36">
        <v>530</v>
      </c>
      <c r="E12" s="42" t="str">
        <f>IF(D12&lt;=0,"",VLOOKUP(D12,[1]FF!A:D,2,0))</f>
        <v>PARTICIPACIONES Ramo 28</v>
      </c>
      <c r="F12" s="37" t="s">
        <v>468</v>
      </c>
      <c r="G12" s="37" t="s">
        <v>461</v>
      </c>
      <c r="H12" s="38">
        <v>296001</v>
      </c>
      <c r="I12" s="41" t="str">
        <f>IF(H12&lt;=0,"",VLOOKUP(H12,COG!A:H,2,0))</f>
        <v>Herramientas, refacciones y accesorios</v>
      </c>
      <c r="J12" s="39">
        <v>8924</v>
      </c>
      <c r="K12" s="39">
        <v>8696</v>
      </c>
      <c r="L12" s="39">
        <v>8691</v>
      </c>
      <c r="M12" s="39">
        <v>8688</v>
      </c>
      <c r="N12" s="1">
        <f>SUM(Tabla1[[#This Row],[TRIMESTRE  I]:[TRIMESTRE IV]])</f>
        <v>34999</v>
      </c>
      <c r="O12" s="39" t="s">
        <v>6</v>
      </c>
      <c r="P12" s="39" t="s">
        <v>469</v>
      </c>
      <c r="Q12" s="59" t="s">
        <v>471</v>
      </c>
    </row>
    <row r="13" spans="2:17" ht="22.5" x14ac:dyDescent="0.2">
      <c r="B13" s="34">
        <v>201</v>
      </c>
      <c r="C13" s="35" t="s">
        <v>467</v>
      </c>
      <c r="D13" s="36">
        <v>530</v>
      </c>
      <c r="E13" s="42" t="str">
        <f>IF(D13&lt;=0,"",VLOOKUP(D13,[1]FF!A:D,2,0))</f>
        <v>PARTICIPACIONES Ramo 28</v>
      </c>
      <c r="F13" s="37" t="s">
        <v>468</v>
      </c>
      <c r="G13" s="37" t="s">
        <v>458</v>
      </c>
      <c r="H13" s="38">
        <v>311001</v>
      </c>
      <c r="I13" s="41" t="str">
        <f>IF(H13&lt;=0,"",VLOOKUP(H13,COG!A:H,2,0))</f>
        <v>Servicio de energía eléctrica</v>
      </c>
      <c r="J13" s="39">
        <v>29156</v>
      </c>
      <c r="K13" s="39">
        <v>29155</v>
      </c>
      <c r="L13" s="39">
        <v>20411</v>
      </c>
      <c r="M13" s="39">
        <v>11659</v>
      </c>
      <c r="N13" s="1">
        <f>SUM(Tabla1[[#This Row],[TRIMESTRE  I]:[TRIMESTRE IV]])</f>
        <v>90381</v>
      </c>
      <c r="O13" s="39"/>
      <c r="P13" s="79" t="s">
        <v>472</v>
      </c>
      <c r="Q13" s="59"/>
    </row>
    <row r="14" spans="2:17" ht="22.5" x14ac:dyDescent="0.2">
      <c r="B14" s="34">
        <v>201</v>
      </c>
      <c r="C14" s="35" t="s">
        <v>467</v>
      </c>
      <c r="D14" s="36">
        <v>530</v>
      </c>
      <c r="E14" s="42" t="str">
        <f>IF(D14&lt;=0,"",VLOOKUP(D14,[1]FF!A:D,2,0))</f>
        <v>PARTICIPACIONES Ramo 28</v>
      </c>
      <c r="F14" s="37" t="s">
        <v>468</v>
      </c>
      <c r="G14" s="37" t="s">
        <v>458</v>
      </c>
      <c r="H14" s="38">
        <v>314001</v>
      </c>
      <c r="I14" s="41" t="str">
        <f>IF(H14&lt;=0,"",VLOOKUP(H14,COG!A:H,2,0))</f>
        <v>Servicio telefónico</v>
      </c>
      <c r="J14" s="39">
        <v>101133</v>
      </c>
      <c r="K14" s="39">
        <v>101133</v>
      </c>
      <c r="L14" s="39">
        <v>101133</v>
      </c>
      <c r="M14" s="39">
        <v>69118</v>
      </c>
      <c r="N14" s="1">
        <f>SUM(Tabla1[[#This Row],[TRIMESTRE  I]:[TRIMESTRE IV]])</f>
        <v>372517</v>
      </c>
      <c r="O14" s="39"/>
      <c r="P14" s="79" t="s">
        <v>472</v>
      </c>
      <c r="Q14" s="59"/>
    </row>
    <row r="15" spans="2:17" ht="22.5" x14ac:dyDescent="0.2">
      <c r="B15" s="34">
        <v>201</v>
      </c>
      <c r="C15" s="35" t="s">
        <v>467</v>
      </c>
      <c r="D15" s="36">
        <v>530</v>
      </c>
      <c r="E15" s="42" t="str">
        <f>IF(D15&lt;=0,"",VLOOKUP(D15,[1]FF!A:D,2,0))</f>
        <v>PARTICIPACIONES Ramo 28</v>
      </c>
      <c r="F15" s="37" t="s">
        <v>468</v>
      </c>
      <c r="G15" s="37" t="s">
        <v>458</v>
      </c>
      <c r="H15" s="38">
        <v>323001</v>
      </c>
      <c r="I15" s="41" t="str">
        <f>IF(H15&lt;=0,"",VLOOKUP(H15,COG!A:H,2,0))</f>
        <v>Arrendamiento de maquinaria y equipo</v>
      </c>
      <c r="J15" s="39">
        <v>27535</v>
      </c>
      <c r="K15" s="39">
        <v>27534</v>
      </c>
      <c r="L15" s="39">
        <v>27537</v>
      </c>
      <c r="M15" s="39">
        <v>27486</v>
      </c>
      <c r="N15" s="1">
        <f>SUM(Tabla1[[#This Row],[TRIMESTRE  I]:[TRIMESTRE IV]])</f>
        <v>110092</v>
      </c>
      <c r="O15" s="39" t="s">
        <v>5</v>
      </c>
      <c r="P15" s="79" t="s">
        <v>472</v>
      </c>
      <c r="Q15" s="59" t="s">
        <v>471</v>
      </c>
    </row>
    <row r="16" spans="2:17" ht="22.5" x14ac:dyDescent="0.2">
      <c r="B16" s="34">
        <v>201</v>
      </c>
      <c r="C16" s="35" t="s">
        <v>467</v>
      </c>
      <c r="D16" s="36">
        <v>530</v>
      </c>
      <c r="E16" s="42" t="str">
        <f>IF(D16&lt;=0,"",VLOOKUP(D16,[1]FF!A:D,2,0))</f>
        <v>PARTICIPACIONES Ramo 28</v>
      </c>
      <c r="F16" s="37" t="s">
        <v>468</v>
      </c>
      <c r="G16" s="37" t="s">
        <v>458</v>
      </c>
      <c r="H16" s="38">
        <v>334001</v>
      </c>
      <c r="I16" s="41" t="str">
        <f>IF(H16&lt;=0,"",VLOOKUP(H16,COG!A:H,2,0))</f>
        <v>Cuotas e inscripciones</v>
      </c>
      <c r="J16" s="39">
        <v>546</v>
      </c>
      <c r="K16" s="39">
        <v>546</v>
      </c>
      <c r="L16" s="39">
        <v>546</v>
      </c>
      <c r="M16" s="39">
        <v>546</v>
      </c>
      <c r="N16" s="1">
        <f>SUM(Tabla1[[#This Row],[TRIMESTRE  I]:[TRIMESTRE IV]])</f>
        <v>2184</v>
      </c>
      <c r="O16" s="39" t="s">
        <v>6</v>
      </c>
      <c r="P16" s="39" t="s">
        <v>469</v>
      </c>
      <c r="Q16" s="59" t="s">
        <v>471</v>
      </c>
    </row>
    <row r="17" spans="2:17" ht="22.5" x14ac:dyDescent="0.2">
      <c r="B17" s="34">
        <v>201</v>
      </c>
      <c r="C17" s="35" t="s">
        <v>467</v>
      </c>
      <c r="D17" s="36">
        <v>530</v>
      </c>
      <c r="E17" s="42" t="str">
        <f>IF(D17&lt;=0,"",VLOOKUP(D17,[1]FF!A:D,2,0))</f>
        <v>PARTICIPACIONES Ramo 28</v>
      </c>
      <c r="F17" s="37" t="s">
        <v>468</v>
      </c>
      <c r="G17" s="37" t="s">
        <v>458</v>
      </c>
      <c r="H17" s="38">
        <v>345001</v>
      </c>
      <c r="I17" s="41" t="str">
        <f>IF(H17&lt;=0,"",VLOOKUP(H17,COG!A:H,2,0))</f>
        <v>Seguros</v>
      </c>
      <c r="J17" s="39">
        <v>9727</v>
      </c>
      <c r="K17" s="39">
        <v>9729</v>
      </c>
      <c r="L17" s="39">
        <v>9726</v>
      </c>
      <c r="M17" s="39">
        <v>140297</v>
      </c>
      <c r="N17" s="1">
        <f>SUM(Tabla1[[#This Row],[TRIMESTRE  I]:[TRIMESTRE IV]])</f>
        <v>169479</v>
      </c>
      <c r="O17" s="39" t="s">
        <v>5</v>
      </c>
      <c r="P17" s="79" t="s">
        <v>472</v>
      </c>
      <c r="Q17" s="59" t="s">
        <v>470</v>
      </c>
    </row>
    <row r="18" spans="2:17" ht="22.5" x14ac:dyDescent="0.2">
      <c r="B18" s="34">
        <v>201</v>
      </c>
      <c r="C18" s="35" t="s">
        <v>467</v>
      </c>
      <c r="D18" s="36">
        <v>530</v>
      </c>
      <c r="E18" s="42" t="str">
        <f>IF(D18&lt;=0,"",VLOOKUP(D18,[1]FF!A:D,2,0))</f>
        <v>PARTICIPACIONES Ramo 28</v>
      </c>
      <c r="F18" s="37" t="s">
        <v>468</v>
      </c>
      <c r="G18" s="37" t="s">
        <v>458</v>
      </c>
      <c r="H18" s="38">
        <v>347001</v>
      </c>
      <c r="I18" s="41" t="str">
        <f>IF(H18&lt;=0,"",VLOOKUP(H18,COG!A:H,2,0))</f>
        <v>Fletes, maniobras y almacenaje</v>
      </c>
      <c r="J18" s="39">
        <v>3275</v>
      </c>
      <c r="K18" s="39">
        <v>3274</v>
      </c>
      <c r="L18" s="39">
        <v>3246</v>
      </c>
      <c r="M18" s="39">
        <v>3244</v>
      </c>
      <c r="N18" s="1">
        <f>SUM(Tabla1[[#This Row],[TRIMESTRE  I]:[TRIMESTRE IV]])</f>
        <v>13039</v>
      </c>
      <c r="O18" s="39" t="s">
        <v>6</v>
      </c>
      <c r="P18" s="39" t="s">
        <v>469</v>
      </c>
      <c r="Q18" s="59" t="s">
        <v>471</v>
      </c>
    </row>
    <row r="19" spans="2:17" ht="22.5" x14ac:dyDescent="0.2">
      <c r="B19" s="34">
        <v>201</v>
      </c>
      <c r="C19" s="35" t="s">
        <v>467</v>
      </c>
      <c r="D19" s="36">
        <v>530</v>
      </c>
      <c r="E19" s="42" t="str">
        <f>IF(D19&lt;=0,"",VLOOKUP(D19,[1]FF!A:D,2,0))</f>
        <v>PARTICIPACIONES Ramo 28</v>
      </c>
      <c r="F19" s="37" t="s">
        <v>468</v>
      </c>
      <c r="G19" s="37" t="s">
        <v>458</v>
      </c>
      <c r="H19" s="38">
        <v>351001</v>
      </c>
      <c r="I19" s="41" t="str">
        <f>IF(H19&lt;=0,"",VLOOKUP(H19,COG!A:H,2,0))</f>
        <v>Mantenimiento de inmuebles</v>
      </c>
      <c r="J19" s="39">
        <v>4455</v>
      </c>
      <c r="K19" s="39">
        <v>4455</v>
      </c>
      <c r="L19" s="39">
        <v>4455</v>
      </c>
      <c r="M19" s="39">
        <v>4456</v>
      </c>
      <c r="N19" s="1">
        <f>SUM(Tabla1[[#This Row],[TRIMESTRE  I]:[TRIMESTRE IV]])</f>
        <v>17821</v>
      </c>
      <c r="O19" s="39" t="s">
        <v>6</v>
      </c>
      <c r="P19" s="39" t="s">
        <v>469</v>
      </c>
      <c r="Q19" s="59" t="s">
        <v>471</v>
      </c>
    </row>
    <row r="20" spans="2:17" ht="22.5" x14ac:dyDescent="0.2">
      <c r="B20" s="34">
        <v>201</v>
      </c>
      <c r="C20" s="35" t="s">
        <v>467</v>
      </c>
      <c r="D20" s="36">
        <v>530</v>
      </c>
      <c r="E20" s="43" t="str">
        <f>IF(D20&lt;=0,"",VLOOKUP(D20,[1]FF!A:D,2,0))</f>
        <v>PARTICIPACIONES Ramo 28</v>
      </c>
      <c r="F20" s="37" t="s">
        <v>468</v>
      </c>
      <c r="G20" s="37" t="s">
        <v>458</v>
      </c>
      <c r="H20" s="38">
        <v>352001</v>
      </c>
      <c r="I20" s="44" t="str">
        <f>IF(H20&lt;=0,"",VLOOKUP(H20,COG!A:H,2,0))</f>
        <v>Mantenimiento de mobiliario y equipo</v>
      </c>
      <c r="J20" s="39">
        <v>654</v>
      </c>
      <c r="K20" s="39">
        <v>654</v>
      </c>
      <c r="L20" s="39">
        <v>654</v>
      </c>
      <c r="M20" s="39">
        <v>654</v>
      </c>
      <c r="N20" s="45">
        <f>SUM(Tabla1[[#This Row],[TRIMESTRE  I]:[TRIMESTRE IV]])</f>
        <v>2616</v>
      </c>
      <c r="O20" s="39" t="s">
        <v>6</v>
      </c>
      <c r="P20" s="39" t="s">
        <v>469</v>
      </c>
      <c r="Q20" s="59" t="s">
        <v>471</v>
      </c>
    </row>
    <row r="21" spans="2:17" ht="27" x14ac:dyDescent="0.2">
      <c r="B21" s="34">
        <v>201</v>
      </c>
      <c r="C21" s="35" t="s">
        <v>467</v>
      </c>
      <c r="D21" s="36">
        <v>530</v>
      </c>
      <c r="E21" s="43" t="str">
        <f>IF(D21&lt;=0,"",VLOOKUP(D21,[1]FF!A:D,2,0))</f>
        <v>PARTICIPACIONES Ramo 28</v>
      </c>
      <c r="F21" s="37" t="s">
        <v>468</v>
      </c>
      <c r="G21" s="37" t="s">
        <v>458</v>
      </c>
      <c r="H21" s="38">
        <v>355001</v>
      </c>
      <c r="I21" s="44" t="str">
        <f>IF(H21&lt;=0,"",VLOOKUP(H21,COG!A:H,2,0))</f>
        <v>Mantto. y conservación de vehículos terrestres, aéreos, marítimos, lacustres y fluviales</v>
      </c>
      <c r="J21" s="39">
        <v>59621</v>
      </c>
      <c r="K21" s="39">
        <v>59625</v>
      </c>
      <c r="L21" s="39">
        <v>59625</v>
      </c>
      <c r="M21" s="39">
        <v>59625</v>
      </c>
      <c r="N21" s="45">
        <f>SUM(Tabla1[[#This Row],[TRIMESTRE  I]:[TRIMESTRE IV]])</f>
        <v>238496</v>
      </c>
      <c r="O21" s="39" t="s">
        <v>6</v>
      </c>
      <c r="P21" s="39" t="s">
        <v>469</v>
      </c>
      <c r="Q21" s="59" t="s">
        <v>471</v>
      </c>
    </row>
    <row r="22" spans="2:17" ht="22.5" x14ac:dyDescent="0.2">
      <c r="B22" s="34">
        <v>201</v>
      </c>
      <c r="C22" s="35" t="s">
        <v>467</v>
      </c>
      <c r="D22" s="36">
        <v>530</v>
      </c>
      <c r="E22" s="43" t="str">
        <f>IF(D22&lt;=0,"",VLOOKUP(D22,[1]FF!A:D,2,0))</f>
        <v>PARTICIPACIONES Ramo 28</v>
      </c>
      <c r="F22" s="37" t="s">
        <v>468</v>
      </c>
      <c r="G22" s="37" t="s">
        <v>458</v>
      </c>
      <c r="H22" s="38">
        <v>358001</v>
      </c>
      <c r="I22" s="44" t="str">
        <f>IF(H22&lt;=0,"",VLOOKUP(H22,COG!A:H,2,0))</f>
        <v>Servicios de higiene y limpieza</v>
      </c>
      <c r="J22" s="39">
        <v>2543</v>
      </c>
      <c r="K22" s="39">
        <v>2540</v>
      </c>
      <c r="L22" s="39">
        <v>2521</v>
      </c>
      <c r="M22" s="39">
        <v>2521</v>
      </c>
      <c r="N22" s="45">
        <f>SUM(Tabla1[[#This Row],[TRIMESTRE  I]:[TRIMESTRE IV]])</f>
        <v>10125</v>
      </c>
      <c r="O22" s="39" t="s">
        <v>6</v>
      </c>
      <c r="P22" s="39" t="s">
        <v>469</v>
      </c>
      <c r="Q22" s="59" t="s">
        <v>471</v>
      </c>
    </row>
    <row r="23" spans="2:17" ht="22.5" x14ac:dyDescent="0.2">
      <c r="B23" s="34">
        <v>201</v>
      </c>
      <c r="C23" s="35" t="s">
        <v>467</v>
      </c>
      <c r="D23" s="36">
        <v>530</v>
      </c>
      <c r="E23" s="43" t="str">
        <f>IF(D23&lt;=0,"",VLOOKUP(D23,[1]FF!A:D,2,0))</f>
        <v>PARTICIPACIONES Ramo 28</v>
      </c>
      <c r="F23" s="37" t="s">
        <v>468</v>
      </c>
      <c r="G23" s="37" t="s">
        <v>458</v>
      </c>
      <c r="H23" s="38">
        <v>361002</v>
      </c>
      <c r="I23" s="44" t="str">
        <f>IF(H23&lt;=0,"",VLOOKUP(H23,COG!A:H,2,0))</f>
        <v>Impresiones y publicaciones oficiales</v>
      </c>
      <c r="J23" s="39">
        <v>12386</v>
      </c>
      <c r="K23" s="39">
        <v>12379</v>
      </c>
      <c r="L23" s="39">
        <v>12277</v>
      </c>
      <c r="M23" s="39">
        <v>12274</v>
      </c>
      <c r="N23" s="45">
        <f>SUM(Tabla1[[#This Row],[TRIMESTRE  I]:[TRIMESTRE IV]])</f>
        <v>49316</v>
      </c>
      <c r="O23" s="39" t="s">
        <v>6</v>
      </c>
      <c r="P23" s="39" t="s">
        <v>469</v>
      </c>
      <c r="Q23" s="59" t="s">
        <v>471</v>
      </c>
    </row>
    <row r="24" spans="2:17" ht="22.5" x14ac:dyDescent="0.2">
      <c r="B24" s="34">
        <v>201</v>
      </c>
      <c r="C24" s="35" t="s">
        <v>467</v>
      </c>
      <c r="D24" s="36">
        <v>530</v>
      </c>
      <c r="E24" s="43" t="str">
        <f>IF(D24&lt;=0,"",VLOOKUP(D24,[1]FF!A:D,2,0))</f>
        <v>PARTICIPACIONES Ramo 28</v>
      </c>
      <c r="F24" s="37" t="s">
        <v>468</v>
      </c>
      <c r="G24" s="37" t="s">
        <v>458</v>
      </c>
      <c r="H24" s="38">
        <v>371001</v>
      </c>
      <c r="I24" s="44" t="str">
        <f>IF(H24&lt;=0,"",VLOOKUP(H24,COG!A:H,2,0))</f>
        <v>Pasajes aéreos</v>
      </c>
      <c r="J24" s="39">
        <v>39532</v>
      </c>
      <c r="K24" s="39">
        <v>39523</v>
      </c>
      <c r="L24" s="39">
        <v>39306</v>
      </c>
      <c r="M24" s="39">
        <v>39303</v>
      </c>
      <c r="N24" s="45">
        <f>SUM(Tabla1[[#This Row],[TRIMESTRE  I]:[TRIMESTRE IV]])</f>
        <v>157664</v>
      </c>
      <c r="O24" s="39" t="s">
        <v>5</v>
      </c>
      <c r="P24" s="39" t="s">
        <v>472</v>
      </c>
      <c r="Q24" s="59" t="s">
        <v>470</v>
      </c>
    </row>
    <row r="25" spans="2:17" ht="22.5" x14ac:dyDescent="0.2">
      <c r="B25" s="34">
        <v>201</v>
      </c>
      <c r="C25" s="35" t="s">
        <v>467</v>
      </c>
      <c r="D25" s="36">
        <v>530</v>
      </c>
      <c r="E25" s="43" t="str">
        <f>IF(D25&lt;=0,"",VLOOKUP(D25,[1]FF!A:D,2,0))</f>
        <v>PARTICIPACIONES Ramo 28</v>
      </c>
      <c r="F25" s="37" t="s">
        <v>468</v>
      </c>
      <c r="G25" s="37" t="s">
        <v>458</v>
      </c>
      <c r="H25" s="38">
        <v>375001</v>
      </c>
      <c r="I25" s="44" t="str">
        <f>IF(H25&lt;=0,"",VLOOKUP(H25,COG!A:H,2,0))</f>
        <v>Viáticos</v>
      </c>
      <c r="J25" s="39">
        <v>25246</v>
      </c>
      <c r="K25" s="39">
        <v>25248</v>
      </c>
      <c r="L25" s="39">
        <v>25248</v>
      </c>
      <c r="M25" s="39">
        <v>25241</v>
      </c>
      <c r="N25" s="45">
        <f>SUM(Tabla1[[#This Row],[TRIMESTRE  I]:[TRIMESTRE IV]])</f>
        <v>100983</v>
      </c>
      <c r="O25" s="39" t="s">
        <v>6</v>
      </c>
      <c r="P25" s="39" t="s">
        <v>469</v>
      </c>
      <c r="Q25" s="59" t="s">
        <v>471</v>
      </c>
    </row>
    <row r="26" spans="2:17" ht="22.5" x14ac:dyDescent="0.2">
      <c r="B26" s="34">
        <v>201</v>
      </c>
      <c r="C26" s="35" t="s">
        <v>467</v>
      </c>
      <c r="D26" s="36">
        <v>530</v>
      </c>
      <c r="E26" s="43" t="str">
        <f>IF(D26&lt;=0,"",VLOOKUP(D26,[1]FF!A:D,2,0))</f>
        <v>PARTICIPACIONES Ramo 28</v>
      </c>
      <c r="F26" s="37" t="s">
        <v>468</v>
      </c>
      <c r="G26" s="37" t="s">
        <v>458</v>
      </c>
      <c r="H26" s="38">
        <v>382002</v>
      </c>
      <c r="I26" s="44" t="str">
        <f>IF(H26&lt;=0,"",VLOOKUP(H26,COG!A:H,2,0))</f>
        <v>Gastos de recepción, conmemorativos y de orden social</v>
      </c>
      <c r="J26" s="39">
        <v>86800</v>
      </c>
      <c r="K26" s="39">
        <v>86802</v>
      </c>
      <c r="L26" s="39">
        <v>86802</v>
      </c>
      <c r="M26" s="39">
        <v>86803</v>
      </c>
      <c r="N26" s="45">
        <f>SUM(Tabla1[[#This Row],[TRIMESTRE  I]:[TRIMESTRE IV]])</f>
        <v>347207</v>
      </c>
      <c r="O26" s="39" t="s">
        <v>6</v>
      </c>
      <c r="P26" s="39" t="s">
        <v>469</v>
      </c>
      <c r="Q26" s="59" t="s">
        <v>471</v>
      </c>
    </row>
    <row r="27" spans="2:17" ht="33.75" x14ac:dyDescent="0.2">
      <c r="B27" s="34">
        <v>201</v>
      </c>
      <c r="C27" s="35" t="s">
        <v>467</v>
      </c>
      <c r="D27" s="36">
        <v>530</v>
      </c>
      <c r="E27" s="43" t="str">
        <f>IF(D27&lt;=0,"",VLOOKUP(D27,[1]FF!A:D,2,0))</f>
        <v>PARTICIPACIONES Ramo 28</v>
      </c>
      <c r="F27" s="37" t="s">
        <v>473</v>
      </c>
      <c r="G27" s="37" t="s">
        <v>461</v>
      </c>
      <c r="H27" s="38">
        <v>211001</v>
      </c>
      <c r="I27" s="44" t="str">
        <f>IF(H27&lt;=0,"",VLOOKUP(H27,COG!A:H,2,0))</f>
        <v>Material de oficina</v>
      </c>
      <c r="J27" s="39">
        <v>10333</v>
      </c>
      <c r="K27" s="39">
        <v>10330</v>
      </c>
      <c r="L27" s="39">
        <v>10328</v>
      </c>
      <c r="M27" s="39">
        <v>10327</v>
      </c>
      <c r="N27" s="45">
        <f>SUM(Tabla1[[#This Row],[TRIMESTRE  I]:[TRIMESTRE IV]])</f>
        <v>41318</v>
      </c>
      <c r="O27" s="39" t="s">
        <v>5</v>
      </c>
      <c r="P27" s="39" t="s">
        <v>469</v>
      </c>
      <c r="Q27" s="59" t="s">
        <v>470</v>
      </c>
    </row>
    <row r="28" spans="2:17" ht="33.75" x14ac:dyDescent="0.2">
      <c r="B28" s="34">
        <v>201</v>
      </c>
      <c r="C28" s="35" t="s">
        <v>467</v>
      </c>
      <c r="D28" s="36">
        <v>530</v>
      </c>
      <c r="E28" s="43" t="str">
        <f>IF(D28&lt;=0,"",VLOOKUP(D28,[1]FF!A:D,2,0))</f>
        <v>PARTICIPACIONES Ramo 28</v>
      </c>
      <c r="F28" s="37" t="s">
        <v>473</v>
      </c>
      <c r="G28" s="37" t="s">
        <v>461</v>
      </c>
      <c r="H28" s="38">
        <v>212001</v>
      </c>
      <c r="I28" s="44" t="str">
        <f>IF(H28&lt;=0,"",VLOOKUP(H28,COG!A:H,2,0))</f>
        <v>Material y útiles de impresión</v>
      </c>
      <c r="J28" s="39">
        <v>13215</v>
      </c>
      <c r="K28" s="39">
        <v>13217</v>
      </c>
      <c r="L28" s="39">
        <v>13219</v>
      </c>
      <c r="M28" s="39">
        <v>13212</v>
      </c>
      <c r="N28" s="45">
        <f>SUM(Tabla1[[#This Row],[TRIMESTRE  I]:[TRIMESTRE IV]])</f>
        <v>52863</v>
      </c>
      <c r="O28" s="39" t="s">
        <v>6</v>
      </c>
      <c r="P28" s="39" t="s">
        <v>469</v>
      </c>
      <c r="Q28" s="59" t="s">
        <v>471</v>
      </c>
    </row>
    <row r="29" spans="2:17" ht="33.75" x14ac:dyDescent="0.2">
      <c r="B29" s="34">
        <v>201</v>
      </c>
      <c r="C29" s="35" t="s">
        <v>467</v>
      </c>
      <c r="D29" s="36">
        <v>530</v>
      </c>
      <c r="E29" s="43" t="str">
        <f>IF(D29&lt;=0,"",VLOOKUP(D29,[1]FF!A:D,2,0))</f>
        <v>PARTICIPACIONES Ramo 28</v>
      </c>
      <c r="F29" s="37" t="s">
        <v>473</v>
      </c>
      <c r="G29" s="37" t="s">
        <v>461</v>
      </c>
      <c r="H29" s="38">
        <v>216001</v>
      </c>
      <c r="I29" s="44" t="str">
        <f>IF(H29&lt;=0,"",VLOOKUP(H29,COG!A:H,2,0))</f>
        <v>Material de limpieza</v>
      </c>
      <c r="J29" s="39">
        <v>2781</v>
      </c>
      <c r="K29" s="39">
        <v>2776</v>
      </c>
      <c r="L29" s="39">
        <v>2775</v>
      </c>
      <c r="M29" s="39">
        <v>2775</v>
      </c>
      <c r="N29" s="45">
        <f>SUM(Tabla1[[#This Row],[TRIMESTRE  I]:[TRIMESTRE IV]])</f>
        <v>11107</v>
      </c>
      <c r="O29" s="39" t="s">
        <v>5</v>
      </c>
      <c r="P29" s="39" t="s">
        <v>469</v>
      </c>
      <c r="Q29" s="59" t="s">
        <v>470</v>
      </c>
    </row>
    <row r="30" spans="2:17" ht="33.75" x14ac:dyDescent="0.2">
      <c r="B30" s="34">
        <v>201</v>
      </c>
      <c r="C30" s="35" t="s">
        <v>467</v>
      </c>
      <c r="D30" s="36">
        <v>530</v>
      </c>
      <c r="E30" s="43" t="str">
        <f>IF(D30&lt;=0,"",VLOOKUP(D30,[1]FF!A:D,2,0))</f>
        <v>PARTICIPACIONES Ramo 28</v>
      </c>
      <c r="F30" s="37" t="s">
        <v>473</v>
      </c>
      <c r="G30" s="37" t="s">
        <v>461</v>
      </c>
      <c r="H30" s="38">
        <v>221001</v>
      </c>
      <c r="I30" s="44" t="str">
        <f>IF(H30&lt;=0,"",VLOOKUP(H30,COG!A:H,2,0))</f>
        <v>Alimentación de personas</v>
      </c>
      <c r="J30" s="39">
        <v>2733</v>
      </c>
      <c r="K30" s="39">
        <v>2737</v>
      </c>
      <c r="L30" s="39">
        <v>2739</v>
      </c>
      <c r="M30" s="39">
        <v>2743</v>
      </c>
      <c r="N30" s="45">
        <f>SUM(Tabla1[[#This Row],[TRIMESTRE  I]:[TRIMESTRE IV]])</f>
        <v>10952</v>
      </c>
      <c r="O30" s="39" t="s">
        <v>6</v>
      </c>
      <c r="P30" s="39" t="s">
        <v>469</v>
      </c>
      <c r="Q30" s="59" t="s">
        <v>471</v>
      </c>
    </row>
    <row r="31" spans="2:17" ht="33.75" x14ac:dyDescent="0.2">
      <c r="B31" s="34">
        <v>201</v>
      </c>
      <c r="C31" s="35" t="s">
        <v>467</v>
      </c>
      <c r="D31" s="36">
        <v>530</v>
      </c>
      <c r="E31" s="43" t="str">
        <f>IF(D31&lt;=0,"",VLOOKUP(D31,[1]FF!A:D,2,0))</f>
        <v>PARTICIPACIONES Ramo 28</v>
      </c>
      <c r="F31" s="37" t="s">
        <v>473</v>
      </c>
      <c r="G31" s="37" t="s">
        <v>461</v>
      </c>
      <c r="H31" s="38">
        <v>261001</v>
      </c>
      <c r="I31" s="44" t="str">
        <f>IF(H31&lt;=0,"",VLOOKUP(H31,COG!A:H,2,0))</f>
        <v>Combustibles</v>
      </c>
      <c r="J31" s="39">
        <v>40149</v>
      </c>
      <c r="K31" s="39">
        <v>40149</v>
      </c>
      <c r="L31" s="39">
        <v>40152</v>
      </c>
      <c r="M31" s="39">
        <v>40148</v>
      </c>
      <c r="N31" s="45">
        <f>SUM(Tabla1[[#This Row],[TRIMESTRE  I]:[TRIMESTRE IV]])</f>
        <v>160598</v>
      </c>
      <c r="O31" s="39" t="s">
        <v>5</v>
      </c>
      <c r="P31" s="39" t="s">
        <v>472</v>
      </c>
      <c r="Q31" s="59" t="s">
        <v>470</v>
      </c>
    </row>
    <row r="32" spans="2:17" ht="33.75" x14ac:dyDescent="0.2">
      <c r="B32" s="34">
        <v>201</v>
      </c>
      <c r="C32" s="35" t="s">
        <v>467</v>
      </c>
      <c r="D32" s="36">
        <v>530</v>
      </c>
      <c r="E32" s="43" t="str">
        <f>IF(D32&lt;=0,"",VLOOKUP(D32,[1]FF!A:D,2,0))</f>
        <v>PARTICIPACIONES Ramo 28</v>
      </c>
      <c r="F32" s="37" t="s">
        <v>473</v>
      </c>
      <c r="G32" s="37" t="s">
        <v>461</v>
      </c>
      <c r="H32" s="38">
        <v>296001</v>
      </c>
      <c r="I32" s="44" t="str">
        <f>IF(H32&lt;=0,"",VLOOKUP(H32,COG!A:H,2,0))</f>
        <v>Herramientas, refacciones y accesorios</v>
      </c>
      <c r="J32" s="39">
        <v>5379</v>
      </c>
      <c r="K32" s="39">
        <v>5379</v>
      </c>
      <c r="L32" s="39">
        <v>5379</v>
      </c>
      <c r="M32" s="39">
        <v>5377</v>
      </c>
      <c r="N32" s="45">
        <f>SUM(Tabla1[[#This Row],[TRIMESTRE  I]:[TRIMESTRE IV]])</f>
        <v>21514</v>
      </c>
      <c r="O32" s="39" t="s">
        <v>6</v>
      </c>
      <c r="P32" s="39" t="s">
        <v>469</v>
      </c>
      <c r="Q32" s="59" t="s">
        <v>471</v>
      </c>
    </row>
    <row r="33" spans="2:17" ht="33.75" x14ac:dyDescent="0.2">
      <c r="B33" s="34">
        <v>201</v>
      </c>
      <c r="C33" s="35" t="s">
        <v>467</v>
      </c>
      <c r="D33" s="36">
        <v>530</v>
      </c>
      <c r="E33" s="43" t="str">
        <f>IF(D33&lt;=0,"",VLOOKUP(D33,[1]FF!A:D,2,0))</f>
        <v>PARTICIPACIONES Ramo 28</v>
      </c>
      <c r="F33" s="37" t="s">
        <v>473</v>
      </c>
      <c r="G33" s="37" t="s">
        <v>458</v>
      </c>
      <c r="H33" s="38">
        <v>311001</v>
      </c>
      <c r="I33" s="44" t="str">
        <f>IF(H33&lt;=0,"",VLOOKUP(H33,COG!A:H,2,0))</f>
        <v>Servicio de energía eléctrica</v>
      </c>
      <c r="J33" s="39">
        <v>29264</v>
      </c>
      <c r="K33" s="39">
        <v>29252</v>
      </c>
      <c r="L33" s="39">
        <v>183293</v>
      </c>
      <c r="M33" s="39">
        <v>117826</v>
      </c>
      <c r="N33" s="45">
        <f>SUM(Tabla1[[#This Row],[TRIMESTRE  I]:[TRIMESTRE IV]])</f>
        <v>359635</v>
      </c>
      <c r="O33" s="39"/>
      <c r="P33" s="39"/>
      <c r="Q33" s="59"/>
    </row>
    <row r="34" spans="2:17" ht="33.75" x14ac:dyDescent="0.2">
      <c r="B34" s="34">
        <v>201</v>
      </c>
      <c r="C34" s="35" t="s">
        <v>467</v>
      </c>
      <c r="D34" s="36">
        <v>530</v>
      </c>
      <c r="E34" s="43" t="str">
        <f>IF(D34&lt;=0,"",VLOOKUP(D34,[1]FF!A:D,2,0))</f>
        <v>PARTICIPACIONES Ramo 28</v>
      </c>
      <c r="F34" s="37" t="s">
        <v>473</v>
      </c>
      <c r="G34" s="37" t="s">
        <v>458</v>
      </c>
      <c r="H34" s="38">
        <v>313001</v>
      </c>
      <c r="I34" s="44" t="str">
        <f>IF(H34&lt;=0,"",VLOOKUP(H34,COG!A:H,2,0))</f>
        <v>Servicio de agua potable</v>
      </c>
      <c r="J34" s="39">
        <v>38352</v>
      </c>
      <c r="K34" s="39">
        <v>38352</v>
      </c>
      <c r="L34" s="39">
        <v>38352</v>
      </c>
      <c r="M34" s="39">
        <v>38706</v>
      </c>
      <c r="N34" s="45">
        <f>SUM(Tabla1[[#This Row],[TRIMESTRE  I]:[TRIMESTRE IV]])</f>
        <v>153762</v>
      </c>
      <c r="O34" s="39"/>
      <c r="P34" s="39"/>
      <c r="Q34" s="59"/>
    </row>
    <row r="35" spans="2:17" ht="33.75" x14ac:dyDescent="0.2">
      <c r="B35" s="34">
        <v>201</v>
      </c>
      <c r="C35" s="35" t="s">
        <v>467</v>
      </c>
      <c r="D35" s="36">
        <v>530</v>
      </c>
      <c r="E35" s="43" t="str">
        <f>IF(D35&lt;=0,"",VLOOKUP(D35,[1]FF!A:D,2,0))</f>
        <v>PARTICIPACIONES Ramo 28</v>
      </c>
      <c r="F35" s="37" t="s">
        <v>473</v>
      </c>
      <c r="G35" s="37" t="s">
        <v>458</v>
      </c>
      <c r="H35" s="38">
        <v>314001</v>
      </c>
      <c r="I35" s="44" t="str">
        <f>IF(H35&lt;=0,"",VLOOKUP(H35,COG!A:H,2,0))</f>
        <v>Servicio telefónico</v>
      </c>
      <c r="J35" s="39">
        <v>34932</v>
      </c>
      <c r="K35" s="39">
        <v>34936</v>
      </c>
      <c r="L35" s="39">
        <v>34932</v>
      </c>
      <c r="M35" s="39">
        <v>34940</v>
      </c>
      <c r="N35" s="45">
        <f>SUM(Tabla1[[#This Row],[TRIMESTRE  I]:[TRIMESTRE IV]])</f>
        <v>139740</v>
      </c>
      <c r="O35" s="39"/>
      <c r="P35" s="39"/>
      <c r="Q35" s="59"/>
    </row>
    <row r="36" spans="2:17" ht="33.75" x14ac:dyDescent="0.2">
      <c r="B36" s="34">
        <v>201</v>
      </c>
      <c r="C36" s="35" t="s">
        <v>467</v>
      </c>
      <c r="D36" s="36">
        <v>530</v>
      </c>
      <c r="E36" s="43" t="str">
        <f>IF(D36&lt;=0,"",VLOOKUP(D36,[1]FF!A:D,2,0))</f>
        <v>PARTICIPACIONES Ramo 28</v>
      </c>
      <c r="F36" s="37" t="s">
        <v>473</v>
      </c>
      <c r="G36" s="37" t="s">
        <v>458</v>
      </c>
      <c r="H36" s="38">
        <v>322001</v>
      </c>
      <c r="I36" s="44" t="str">
        <f>IF(H36&lt;=0,"",VLOOKUP(H36,COG!A:H,2,0))</f>
        <v>Arrendamiento de edificios</v>
      </c>
      <c r="J36" s="39">
        <v>37236</v>
      </c>
      <c r="K36" s="39">
        <v>37236</v>
      </c>
      <c r="L36" s="39">
        <v>37236</v>
      </c>
      <c r="M36" s="39">
        <v>37236</v>
      </c>
      <c r="N36" s="45">
        <f>SUM(Tabla1[[#This Row],[TRIMESTRE  I]:[TRIMESTRE IV]])</f>
        <v>148944</v>
      </c>
      <c r="O36" s="39" t="s">
        <v>6</v>
      </c>
      <c r="P36" s="39" t="s">
        <v>472</v>
      </c>
      <c r="Q36" s="59" t="s">
        <v>471</v>
      </c>
    </row>
    <row r="37" spans="2:17" ht="33.75" x14ac:dyDescent="0.2">
      <c r="B37" s="34">
        <v>201</v>
      </c>
      <c r="C37" s="35" t="s">
        <v>467</v>
      </c>
      <c r="D37" s="36">
        <v>530</v>
      </c>
      <c r="E37" s="43" t="str">
        <f>IF(D37&lt;=0,"",VLOOKUP(D37,[1]FF!A:D,2,0))</f>
        <v>PARTICIPACIONES Ramo 28</v>
      </c>
      <c r="F37" s="37" t="s">
        <v>473</v>
      </c>
      <c r="G37" s="37" t="s">
        <v>458</v>
      </c>
      <c r="H37" s="38">
        <v>323001</v>
      </c>
      <c r="I37" s="44" t="str">
        <f>IF(H37&lt;=0,"",VLOOKUP(H37,COG!A:H,2,0))</f>
        <v>Arrendamiento de maquinaria y equipo</v>
      </c>
      <c r="J37" s="39">
        <v>11112</v>
      </c>
      <c r="K37" s="39">
        <v>11114</v>
      </c>
      <c r="L37" s="39">
        <v>11117</v>
      </c>
      <c r="M37" s="39">
        <v>11121</v>
      </c>
      <c r="N37" s="45">
        <f>SUM(Tabla1[[#This Row],[TRIMESTRE  I]:[TRIMESTRE IV]])</f>
        <v>44464</v>
      </c>
      <c r="O37" s="39" t="s">
        <v>5</v>
      </c>
      <c r="P37" s="39" t="s">
        <v>472</v>
      </c>
      <c r="Q37" s="59" t="s">
        <v>470</v>
      </c>
    </row>
    <row r="38" spans="2:17" ht="33.75" x14ac:dyDescent="0.2">
      <c r="B38" s="34">
        <v>201</v>
      </c>
      <c r="C38" s="35" t="s">
        <v>467</v>
      </c>
      <c r="D38" s="36">
        <v>530</v>
      </c>
      <c r="E38" s="43" t="str">
        <f>IF(D38&lt;=0,"",VLOOKUP(D38,[1]FF!A:D,2,0))</f>
        <v>PARTICIPACIONES Ramo 28</v>
      </c>
      <c r="F38" s="37" t="s">
        <v>473</v>
      </c>
      <c r="G38" s="37" t="s">
        <v>458</v>
      </c>
      <c r="H38" s="38">
        <v>329001</v>
      </c>
      <c r="I38" s="44" t="str">
        <f>IF(H38&lt;=0,"",VLOOKUP(H38,COG!A:H,2,0))</f>
        <v>Arrendamientos especiales</v>
      </c>
      <c r="J38" s="39">
        <v>1400</v>
      </c>
      <c r="K38" s="39">
        <v>1399</v>
      </c>
      <c r="L38" s="39">
        <v>1391</v>
      </c>
      <c r="M38" s="39">
        <v>1388</v>
      </c>
      <c r="N38" s="45">
        <f>SUM(Tabla1[[#This Row],[TRIMESTRE  I]:[TRIMESTRE IV]])</f>
        <v>5578</v>
      </c>
      <c r="O38" s="39" t="s">
        <v>6</v>
      </c>
      <c r="P38" s="39" t="s">
        <v>469</v>
      </c>
      <c r="Q38" s="59" t="s">
        <v>471</v>
      </c>
    </row>
    <row r="39" spans="2:17" ht="33.75" x14ac:dyDescent="0.2">
      <c r="B39" s="34">
        <v>201</v>
      </c>
      <c r="C39" s="35" t="s">
        <v>467</v>
      </c>
      <c r="D39" s="36">
        <v>530</v>
      </c>
      <c r="E39" s="43" t="str">
        <f>IF(D39&lt;=0,"",VLOOKUP(D39,[1]FF!A:D,2,0))</f>
        <v>PARTICIPACIONES Ramo 28</v>
      </c>
      <c r="F39" s="37" t="s">
        <v>473</v>
      </c>
      <c r="G39" s="37" t="s">
        <v>458</v>
      </c>
      <c r="H39" s="38">
        <v>345001</v>
      </c>
      <c r="I39" s="44" t="str">
        <f>IF(H39&lt;=0,"",VLOOKUP(H39,COG!A:H,2,0))</f>
        <v>Seguros</v>
      </c>
      <c r="J39" s="39">
        <v>4809</v>
      </c>
      <c r="K39" s="39">
        <v>4809</v>
      </c>
      <c r="L39" s="39">
        <v>4809</v>
      </c>
      <c r="M39" s="39">
        <v>4809</v>
      </c>
      <c r="N39" s="45">
        <f>SUM(Tabla1[[#This Row],[TRIMESTRE  I]:[TRIMESTRE IV]])</f>
        <v>19236</v>
      </c>
      <c r="O39" s="39" t="s">
        <v>5</v>
      </c>
      <c r="P39" s="39" t="s">
        <v>472</v>
      </c>
      <c r="Q39" s="59" t="s">
        <v>470</v>
      </c>
    </row>
    <row r="40" spans="2:17" ht="33.75" x14ac:dyDescent="0.2">
      <c r="B40" s="34">
        <v>201</v>
      </c>
      <c r="C40" s="35" t="s">
        <v>467</v>
      </c>
      <c r="D40" s="36">
        <v>530</v>
      </c>
      <c r="E40" s="43" t="str">
        <f>IF(D40&lt;=0,"",VLOOKUP(D40,[1]FF!A:D,2,0))</f>
        <v>PARTICIPACIONES Ramo 28</v>
      </c>
      <c r="F40" s="37" t="s">
        <v>473</v>
      </c>
      <c r="G40" s="37" t="s">
        <v>458</v>
      </c>
      <c r="H40" s="38">
        <v>355001</v>
      </c>
      <c r="I40" s="44" t="str">
        <f>IF(H40&lt;=0,"",VLOOKUP(H40,COG!A:H,2,0))</f>
        <v>Mantto. y conservación de vehículos terrestres, aéreos, marítimos, lacustres y fluviales</v>
      </c>
      <c r="J40" s="39">
        <v>34128</v>
      </c>
      <c r="K40" s="39">
        <v>34130</v>
      </c>
      <c r="L40" s="39">
        <v>34132</v>
      </c>
      <c r="M40" s="39">
        <v>34134</v>
      </c>
      <c r="N40" s="45">
        <f>SUM(Tabla1[[#This Row],[TRIMESTRE  I]:[TRIMESTRE IV]])</f>
        <v>136524</v>
      </c>
      <c r="O40" s="39" t="s">
        <v>6</v>
      </c>
      <c r="P40" s="39" t="s">
        <v>469</v>
      </c>
      <c r="Q40" s="59" t="s">
        <v>471</v>
      </c>
    </row>
    <row r="41" spans="2:17" ht="33.75" x14ac:dyDescent="0.2">
      <c r="B41" s="34">
        <v>201</v>
      </c>
      <c r="C41" s="35" t="s">
        <v>467</v>
      </c>
      <c r="D41" s="36">
        <v>530</v>
      </c>
      <c r="E41" s="43" t="str">
        <f>IF(D41&lt;=0,"",VLOOKUP(D41,[1]FF!A:D,2,0))</f>
        <v>PARTICIPACIONES Ramo 28</v>
      </c>
      <c r="F41" s="37" t="s">
        <v>473</v>
      </c>
      <c r="G41" s="37" t="s">
        <v>458</v>
      </c>
      <c r="H41" s="38">
        <v>361002</v>
      </c>
      <c r="I41" s="44" t="str">
        <f>IF(H41&lt;=0,"",VLOOKUP(H41,COG!A:H,2,0))</f>
        <v>Impresiones y publicaciones oficiales</v>
      </c>
      <c r="J41" s="39">
        <v>7116</v>
      </c>
      <c r="K41" s="39">
        <v>7106</v>
      </c>
      <c r="L41" s="39">
        <v>7050</v>
      </c>
      <c r="M41" s="39">
        <v>7046</v>
      </c>
      <c r="N41" s="45">
        <f>SUM(Tabla1[[#This Row],[TRIMESTRE  I]:[TRIMESTRE IV]])</f>
        <v>28318</v>
      </c>
      <c r="O41" s="39" t="s">
        <v>6</v>
      </c>
      <c r="P41" s="39" t="s">
        <v>469</v>
      </c>
      <c r="Q41" s="59" t="s">
        <v>471</v>
      </c>
    </row>
    <row r="42" spans="2:17" ht="33.75" x14ac:dyDescent="0.2">
      <c r="B42" s="34">
        <v>201</v>
      </c>
      <c r="C42" s="35" t="s">
        <v>467</v>
      </c>
      <c r="D42" s="36">
        <v>530</v>
      </c>
      <c r="E42" s="43" t="str">
        <f>IF(D42&lt;=0,"",VLOOKUP(D42,[1]FF!A:D,2,0))</f>
        <v>PARTICIPACIONES Ramo 28</v>
      </c>
      <c r="F42" s="37" t="s">
        <v>473</v>
      </c>
      <c r="G42" s="37" t="s">
        <v>458</v>
      </c>
      <c r="H42" s="38">
        <v>361003</v>
      </c>
      <c r="I42" s="44" t="str">
        <f>IF(H42&lt;=0,"",VLOOKUP(H42,COG!A:H,2,0))</f>
        <v>Rotulaciones oficiales</v>
      </c>
      <c r="J42" s="39">
        <v>2991</v>
      </c>
      <c r="K42" s="39">
        <v>2988</v>
      </c>
      <c r="L42" s="39">
        <v>2964</v>
      </c>
      <c r="M42" s="39">
        <v>2964</v>
      </c>
      <c r="N42" s="45">
        <f>SUM(Tabla1[[#This Row],[TRIMESTRE  I]:[TRIMESTRE IV]])</f>
        <v>11907</v>
      </c>
      <c r="O42" s="39" t="s">
        <v>6</v>
      </c>
      <c r="P42" s="39" t="s">
        <v>469</v>
      </c>
      <c r="Q42" s="59" t="s">
        <v>471</v>
      </c>
    </row>
    <row r="43" spans="2:17" ht="33.75" x14ac:dyDescent="0.2">
      <c r="B43" s="34">
        <v>201</v>
      </c>
      <c r="C43" s="35" t="s">
        <v>467</v>
      </c>
      <c r="D43" s="36">
        <v>530</v>
      </c>
      <c r="E43" s="43" t="str">
        <f>IF(D43&lt;=0,"",VLOOKUP(D43,[1]FF!A:D,2,0))</f>
        <v>PARTICIPACIONES Ramo 28</v>
      </c>
      <c r="F43" s="37" t="s">
        <v>473</v>
      </c>
      <c r="G43" s="37" t="s">
        <v>458</v>
      </c>
      <c r="H43" s="38">
        <v>371001</v>
      </c>
      <c r="I43" s="44" t="str">
        <f>IF(H43&lt;=0,"",VLOOKUP(H43,COG!A:H,2,0))</f>
        <v>Pasajes aéreos</v>
      </c>
      <c r="J43" s="39">
        <v>7547</v>
      </c>
      <c r="K43" s="39">
        <v>7543</v>
      </c>
      <c r="L43" s="39">
        <v>7479</v>
      </c>
      <c r="M43" s="39">
        <v>7477</v>
      </c>
      <c r="N43" s="45">
        <f>SUM(Tabla1[[#This Row],[TRIMESTRE  I]:[TRIMESTRE IV]])</f>
        <v>30046</v>
      </c>
      <c r="O43" s="39" t="s">
        <v>5</v>
      </c>
      <c r="P43" s="39" t="s">
        <v>472</v>
      </c>
      <c r="Q43" s="59" t="s">
        <v>470</v>
      </c>
    </row>
    <row r="44" spans="2:17" ht="33.75" x14ac:dyDescent="0.2">
      <c r="B44" s="34">
        <v>201</v>
      </c>
      <c r="C44" s="35" t="s">
        <v>467</v>
      </c>
      <c r="D44" s="36">
        <v>530</v>
      </c>
      <c r="E44" s="43" t="str">
        <f>IF(D44&lt;=0,"",VLOOKUP(D44,[1]FF!A:D,2,0))</f>
        <v>PARTICIPACIONES Ramo 28</v>
      </c>
      <c r="F44" s="37" t="s">
        <v>473</v>
      </c>
      <c r="G44" s="37" t="s">
        <v>458</v>
      </c>
      <c r="H44" s="38">
        <v>375001</v>
      </c>
      <c r="I44" s="44" t="str">
        <f>IF(H44&lt;=0,"",VLOOKUP(H44,COG!A:H,2,0))</f>
        <v>Viáticos</v>
      </c>
      <c r="J44" s="39">
        <v>54780</v>
      </c>
      <c r="K44" s="39">
        <v>54780</v>
      </c>
      <c r="L44" s="39">
        <v>54778</v>
      </c>
      <c r="M44" s="39">
        <v>54774</v>
      </c>
      <c r="N44" s="45">
        <f>SUM(Tabla1[[#This Row],[TRIMESTRE  I]:[TRIMESTRE IV]])</f>
        <v>219112</v>
      </c>
      <c r="O44" s="39" t="s">
        <v>6</v>
      </c>
      <c r="P44" s="39" t="s">
        <v>469</v>
      </c>
      <c r="Q44" s="59" t="s">
        <v>471</v>
      </c>
    </row>
    <row r="45" spans="2:17" ht="33.75" x14ac:dyDescent="0.2">
      <c r="B45" s="34">
        <v>201</v>
      </c>
      <c r="C45" s="35" t="s">
        <v>467</v>
      </c>
      <c r="D45" s="36">
        <v>530</v>
      </c>
      <c r="E45" s="43" t="str">
        <f>IF(D45&lt;=0,"",VLOOKUP(D45,[1]FF!A:D,2,0))</f>
        <v>PARTICIPACIONES Ramo 28</v>
      </c>
      <c r="F45" s="37" t="s">
        <v>473</v>
      </c>
      <c r="G45" s="37" t="s">
        <v>458</v>
      </c>
      <c r="H45" s="38">
        <v>382002</v>
      </c>
      <c r="I45" s="44" t="str">
        <f>IF(H45&lt;=0,"",VLOOKUP(H45,COG!A:H,2,0))</f>
        <v>Gastos de recepción, conmemorativos y de orden social</v>
      </c>
      <c r="J45" s="39">
        <v>35271</v>
      </c>
      <c r="K45" s="39">
        <v>35271</v>
      </c>
      <c r="L45" s="39">
        <v>35271</v>
      </c>
      <c r="M45" s="39">
        <v>35280</v>
      </c>
      <c r="N45" s="45">
        <f>SUM(Tabla1[[#This Row],[TRIMESTRE  I]:[TRIMESTRE IV]])</f>
        <v>141093</v>
      </c>
      <c r="O45" s="39" t="s">
        <v>6</v>
      </c>
      <c r="P45" s="39" t="s">
        <v>469</v>
      </c>
      <c r="Q45" s="59" t="s">
        <v>471</v>
      </c>
    </row>
    <row r="46" spans="2:17" ht="22.5" x14ac:dyDescent="0.2">
      <c r="B46" s="34">
        <v>201</v>
      </c>
      <c r="C46" s="35" t="s">
        <v>467</v>
      </c>
      <c r="D46" s="36">
        <v>530</v>
      </c>
      <c r="E46" s="43" t="str">
        <f>IF(D46&lt;=0,"",VLOOKUP(D46,[1]FF!A:D,2,0))</f>
        <v>PARTICIPACIONES Ramo 28</v>
      </c>
      <c r="F46" s="37" t="s">
        <v>474</v>
      </c>
      <c r="G46" s="37" t="s">
        <v>461</v>
      </c>
      <c r="H46" s="38">
        <v>211001</v>
      </c>
      <c r="I46" s="44" t="str">
        <f>IF(H46&lt;=0,"",VLOOKUP(H46,COG!A:H,2,0))</f>
        <v>Material de oficina</v>
      </c>
      <c r="J46" s="39">
        <v>13626</v>
      </c>
      <c r="K46" s="39">
        <v>13626</v>
      </c>
      <c r="L46" s="39">
        <v>13626</v>
      </c>
      <c r="M46" s="39">
        <v>13626</v>
      </c>
      <c r="N46" s="45">
        <f>SUM(Tabla1[[#This Row],[TRIMESTRE  I]:[TRIMESTRE IV]])</f>
        <v>54504</v>
      </c>
      <c r="O46" s="39" t="s">
        <v>5</v>
      </c>
      <c r="P46" s="39" t="s">
        <v>472</v>
      </c>
      <c r="Q46" s="59" t="s">
        <v>470</v>
      </c>
    </row>
    <row r="47" spans="2:17" ht="33.75" x14ac:dyDescent="0.2">
      <c r="B47" s="34">
        <v>201</v>
      </c>
      <c r="C47" s="35" t="s">
        <v>467</v>
      </c>
      <c r="D47" s="36">
        <v>530</v>
      </c>
      <c r="E47" s="43" t="str">
        <f>IF(D47&lt;=0,"",VLOOKUP(D47,[1]FF!A:D,2,0))</f>
        <v>PARTICIPACIONES Ramo 28</v>
      </c>
      <c r="F47" s="37" t="s">
        <v>475</v>
      </c>
      <c r="G47" s="37" t="s">
        <v>461</v>
      </c>
      <c r="H47" s="38">
        <v>212001</v>
      </c>
      <c r="I47" s="44" t="str">
        <f>IF(H47&lt;=0,"",VLOOKUP(H47,COG!A:H,2,0))</f>
        <v>Material y útiles de impresión</v>
      </c>
      <c r="J47" s="39">
        <v>6357</v>
      </c>
      <c r="K47" s="39">
        <v>6359</v>
      </c>
      <c r="L47" s="39">
        <v>6360</v>
      </c>
      <c r="M47" s="39">
        <v>6360</v>
      </c>
      <c r="N47" s="45">
        <f>SUM(Tabla1[[#This Row],[TRIMESTRE  I]:[TRIMESTRE IV]])</f>
        <v>25436</v>
      </c>
      <c r="O47" s="39" t="s">
        <v>6</v>
      </c>
      <c r="P47" s="39" t="s">
        <v>469</v>
      </c>
      <c r="Q47" s="59" t="s">
        <v>471</v>
      </c>
    </row>
    <row r="48" spans="2:17" ht="33.75" x14ac:dyDescent="0.2">
      <c r="B48" s="34">
        <v>201</v>
      </c>
      <c r="C48" s="35" t="s">
        <v>467</v>
      </c>
      <c r="D48" s="36">
        <v>530</v>
      </c>
      <c r="E48" s="43" t="str">
        <f>IF(D48&lt;=0,"",VLOOKUP(D48,[1]FF!A:D,2,0))</f>
        <v>PARTICIPACIONES Ramo 28</v>
      </c>
      <c r="F48" s="37" t="s">
        <v>475</v>
      </c>
      <c r="G48" s="37" t="s">
        <v>461</v>
      </c>
      <c r="H48" s="38">
        <v>216001</v>
      </c>
      <c r="I48" s="44" t="str">
        <f>IF(H48&lt;=0,"",VLOOKUP(H48,COG!A:H,2,0))</f>
        <v>Material de limpieza</v>
      </c>
      <c r="J48" s="39">
        <v>7278</v>
      </c>
      <c r="K48" s="39">
        <v>7277</v>
      </c>
      <c r="L48" s="39">
        <v>7276</v>
      </c>
      <c r="M48" s="39">
        <v>7277</v>
      </c>
      <c r="N48" s="45">
        <f>SUM(Tabla1[[#This Row],[TRIMESTRE  I]:[TRIMESTRE IV]])</f>
        <v>29108</v>
      </c>
      <c r="O48" s="39" t="s">
        <v>5</v>
      </c>
      <c r="P48" s="39" t="s">
        <v>469</v>
      </c>
      <c r="Q48" s="59" t="s">
        <v>471</v>
      </c>
    </row>
    <row r="49" spans="2:17" ht="33.75" x14ac:dyDescent="0.2">
      <c r="B49" s="34">
        <v>201</v>
      </c>
      <c r="C49" s="35" t="s">
        <v>467</v>
      </c>
      <c r="D49" s="36">
        <v>530</v>
      </c>
      <c r="E49" s="43" t="str">
        <f>IF(D49&lt;=0,"",VLOOKUP(D49,[1]FF!A:D,2,0))</f>
        <v>PARTICIPACIONES Ramo 28</v>
      </c>
      <c r="F49" s="37" t="s">
        <v>475</v>
      </c>
      <c r="G49" s="37" t="s">
        <v>461</v>
      </c>
      <c r="H49" s="38">
        <v>221001</v>
      </c>
      <c r="I49" s="44" t="str">
        <f>IF(H49&lt;=0,"",VLOOKUP(H49,COG!A:H,2,0))</f>
        <v>Alimentación de personas</v>
      </c>
      <c r="J49" s="39">
        <v>13467</v>
      </c>
      <c r="K49" s="39">
        <v>13467</v>
      </c>
      <c r="L49" s="39">
        <v>13467</v>
      </c>
      <c r="M49" s="39">
        <v>13467</v>
      </c>
      <c r="N49" s="45">
        <f>SUM(Tabla1[[#This Row],[TRIMESTRE  I]:[TRIMESTRE IV]])</f>
        <v>53868</v>
      </c>
      <c r="O49" s="39" t="s">
        <v>6</v>
      </c>
      <c r="P49" s="39" t="s">
        <v>469</v>
      </c>
      <c r="Q49" s="59" t="s">
        <v>471</v>
      </c>
    </row>
    <row r="50" spans="2:17" ht="33.75" x14ac:dyDescent="0.2">
      <c r="B50" s="34">
        <v>201</v>
      </c>
      <c r="C50" s="35" t="s">
        <v>467</v>
      </c>
      <c r="D50" s="36">
        <v>530</v>
      </c>
      <c r="E50" s="43" t="str">
        <f>IF(D50&lt;=0,"",VLOOKUP(D50,[1]FF!A:D,2,0))</f>
        <v>PARTICIPACIONES Ramo 28</v>
      </c>
      <c r="F50" s="37" t="s">
        <v>475</v>
      </c>
      <c r="G50" s="37" t="s">
        <v>461</v>
      </c>
      <c r="H50" s="38">
        <v>246001</v>
      </c>
      <c r="I50" s="44" t="str">
        <f>IF(H50&lt;=0,"",VLOOKUP(H50,COG!A:H,2,0))</f>
        <v>Material eléctrico</v>
      </c>
      <c r="J50" s="39">
        <v>294</v>
      </c>
      <c r="K50" s="39">
        <v>297</v>
      </c>
      <c r="L50" s="39">
        <v>294</v>
      </c>
      <c r="M50" s="39">
        <v>294</v>
      </c>
      <c r="N50" s="45">
        <f>SUM(Tabla1[[#This Row],[TRIMESTRE  I]:[TRIMESTRE IV]])</f>
        <v>1179</v>
      </c>
      <c r="O50" s="39" t="s">
        <v>6</v>
      </c>
      <c r="P50" s="39" t="s">
        <v>469</v>
      </c>
      <c r="Q50" s="59" t="s">
        <v>471</v>
      </c>
    </row>
    <row r="51" spans="2:17" ht="33.75" x14ac:dyDescent="0.2">
      <c r="B51" s="34">
        <v>201</v>
      </c>
      <c r="C51" s="35" t="s">
        <v>467</v>
      </c>
      <c r="D51" s="36">
        <v>530</v>
      </c>
      <c r="E51" s="43" t="str">
        <f>IF(D51&lt;=0,"",VLOOKUP(D51,[1]FF!A:D,2,0))</f>
        <v>PARTICIPACIONES Ramo 28</v>
      </c>
      <c r="F51" s="37" t="s">
        <v>475</v>
      </c>
      <c r="G51" s="37" t="s">
        <v>461</v>
      </c>
      <c r="H51" s="38">
        <v>261001</v>
      </c>
      <c r="I51" s="44" t="str">
        <f>IF(H51&lt;=0,"",VLOOKUP(H51,COG!A:H,2,0))</f>
        <v>Combustibles</v>
      </c>
      <c r="J51" s="39">
        <v>73290</v>
      </c>
      <c r="K51" s="39">
        <v>73287</v>
      </c>
      <c r="L51" s="39">
        <v>73287</v>
      </c>
      <c r="M51" s="39">
        <v>73287</v>
      </c>
      <c r="N51" s="45">
        <f>SUM(Tabla1[[#This Row],[TRIMESTRE  I]:[TRIMESTRE IV]])</f>
        <v>293151</v>
      </c>
      <c r="O51" s="39" t="s">
        <v>5</v>
      </c>
      <c r="P51" s="39" t="s">
        <v>472</v>
      </c>
      <c r="Q51" s="59" t="s">
        <v>470</v>
      </c>
    </row>
    <row r="52" spans="2:17" ht="33.75" x14ac:dyDescent="0.2">
      <c r="B52" s="34">
        <v>201</v>
      </c>
      <c r="C52" s="35" t="s">
        <v>467</v>
      </c>
      <c r="D52" s="36">
        <v>530</v>
      </c>
      <c r="E52" s="43" t="str">
        <f>IF(D52&lt;=0,"",VLOOKUP(D52,[1]FF!A:D,2,0))</f>
        <v>PARTICIPACIONES Ramo 28</v>
      </c>
      <c r="F52" s="37" t="s">
        <v>475</v>
      </c>
      <c r="G52" s="37" t="s">
        <v>461</v>
      </c>
      <c r="H52" s="38">
        <v>271001</v>
      </c>
      <c r="I52" s="44" t="str">
        <f>IF(H52&lt;=0,"",VLOOKUP(H52,COG!A:H,2,0))</f>
        <v>Ropa, vestuario y equipo</v>
      </c>
      <c r="J52" s="39">
        <v>0</v>
      </c>
      <c r="K52" s="39">
        <v>12153</v>
      </c>
      <c r="L52" s="39">
        <v>0</v>
      </c>
      <c r="M52" s="39">
        <v>12153</v>
      </c>
      <c r="N52" s="45">
        <f>SUM(Tabla1[[#This Row],[TRIMESTRE  I]:[TRIMESTRE IV]])</f>
        <v>24306</v>
      </c>
      <c r="O52" s="39" t="s">
        <v>5</v>
      </c>
      <c r="P52" s="39" t="s">
        <v>472</v>
      </c>
      <c r="Q52" s="59" t="s">
        <v>470</v>
      </c>
    </row>
    <row r="53" spans="2:17" ht="33.75" x14ac:dyDescent="0.2">
      <c r="B53" s="34">
        <v>201</v>
      </c>
      <c r="C53" s="35" t="s">
        <v>467</v>
      </c>
      <c r="D53" s="36">
        <v>530</v>
      </c>
      <c r="E53" s="43" t="str">
        <f>IF(D53&lt;=0,"",VLOOKUP(D53,[1]FF!A:D,2,0))</f>
        <v>PARTICIPACIONES Ramo 28</v>
      </c>
      <c r="F53" s="37" t="s">
        <v>475</v>
      </c>
      <c r="G53" s="37" t="s">
        <v>461</v>
      </c>
      <c r="H53" s="38">
        <v>296001</v>
      </c>
      <c r="I53" s="44" t="str">
        <f>IF(H53&lt;=0,"",VLOOKUP(H53,COG!A:H,2,0))</f>
        <v>Herramientas, refacciones y accesorios</v>
      </c>
      <c r="J53" s="39">
        <v>4512</v>
      </c>
      <c r="K53" s="39">
        <v>4512</v>
      </c>
      <c r="L53" s="39">
        <v>4512</v>
      </c>
      <c r="M53" s="39">
        <v>4512</v>
      </c>
      <c r="N53" s="45">
        <f>SUM(Tabla1[[#This Row],[TRIMESTRE  I]:[TRIMESTRE IV]])</f>
        <v>18048</v>
      </c>
      <c r="O53" s="39" t="s">
        <v>6</v>
      </c>
      <c r="P53" s="39" t="s">
        <v>469</v>
      </c>
      <c r="Q53" s="59" t="s">
        <v>471</v>
      </c>
    </row>
    <row r="54" spans="2:17" ht="33.75" x14ac:dyDescent="0.2">
      <c r="B54" s="34">
        <v>201</v>
      </c>
      <c r="C54" s="35" t="s">
        <v>467</v>
      </c>
      <c r="D54" s="36">
        <v>530</v>
      </c>
      <c r="E54" s="43" t="str">
        <f>IF(D54&lt;=0,"",VLOOKUP(D54,[1]FF!A:D,2,0))</f>
        <v>PARTICIPACIONES Ramo 28</v>
      </c>
      <c r="F54" s="37" t="s">
        <v>475</v>
      </c>
      <c r="G54" s="37" t="s">
        <v>458</v>
      </c>
      <c r="H54" s="38">
        <v>311001</v>
      </c>
      <c r="I54" s="44" t="str">
        <f>IF(H54&lt;=0,"",VLOOKUP(H54,COG!A:H,2,0))</f>
        <v>Servicio de energía eléctrica</v>
      </c>
      <c r="J54" s="39">
        <v>2847</v>
      </c>
      <c r="K54" s="39">
        <v>2847</v>
      </c>
      <c r="L54" s="39">
        <v>949</v>
      </c>
      <c r="M54" s="39">
        <v>1892</v>
      </c>
      <c r="N54" s="45">
        <f>SUM(Tabla1[[#This Row],[TRIMESTRE  I]:[TRIMESTRE IV]])</f>
        <v>8535</v>
      </c>
      <c r="O54" s="39"/>
      <c r="P54" s="39"/>
      <c r="Q54" s="59"/>
    </row>
    <row r="55" spans="2:17" ht="33.75" x14ac:dyDescent="0.2">
      <c r="B55" s="34">
        <v>201</v>
      </c>
      <c r="C55" s="35" t="s">
        <v>467</v>
      </c>
      <c r="D55" s="36">
        <v>530</v>
      </c>
      <c r="E55" s="43" t="str">
        <f>IF(D55&lt;=0,"",VLOOKUP(D55,[1]FF!A:D,2,0))</f>
        <v>PARTICIPACIONES Ramo 28</v>
      </c>
      <c r="F55" s="37" t="s">
        <v>475</v>
      </c>
      <c r="G55" s="37" t="s">
        <v>458</v>
      </c>
      <c r="H55" s="38">
        <v>313001</v>
      </c>
      <c r="I55" s="44" t="str">
        <f>IF(H55&lt;=0,"",VLOOKUP(H55,COG!A:H,2,0))</f>
        <v>Servicio de agua potable</v>
      </c>
      <c r="J55" s="39">
        <v>12780</v>
      </c>
      <c r="K55" s="39">
        <v>12780</v>
      </c>
      <c r="L55" s="39">
        <v>12780</v>
      </c>
      <c r="M55" s="39">
        <v>12780</v>
      </c>
      <c r="N55" s="45">
        <f>SUM(Tabla1[[#This Row],[TRIMESTRE  I]:[TRIMESTRE IV]])</f>
        <v>51120</v>
      </c>
      <c r="O55" s="39"/>
      <c r="P55" s="39"/>
      <c r="Q55" s="59"/>
    </row>
    <row r="56" spans="2:17" ht="33.75" x14ac:dyDescent="0.2">
      <c r="B56" s="34">
        <v>201</v>
      </c>
      <c r="C56" s="35" t="s">
        <v>467</v>
      </c>
      <c r="D56" s="36">
        <v>530</v>
      </c>
      <c r="E56" s="43" t="str">
        <f>IF(D56&lt;=0,"",VLOOKUP(D56,[1]FF!A:D,2,0))</f>
        <v>PARTICIPACIONES Ramo 28</v>
      </c>
      <c r="F56" s="37" t="s">
        <v>475</v>
      </c>
      <c r="G56" s="37" t="s">
        <v>458</v>
      </c>
      <c r="H56" s="38">
        <v>314001</v>
      </c>
      <c r="I56" s="44" t="str">
        <f>IF(H56&lt;=0,"",VLOOKUP(H56,COG!A:H,2,0))</f>
        <v>Servicio telefónico</v>
      </c>
      <c r="J56" s="39">
        <v>10944</v>
      </c>
      <c r="K56" s="39">
        <v>10950</v>
      </c>
      <c r="L56" s="39">
        <v>10944</v>
      </c>
      <c r="M56" s="39">
        <v>10944</v>
      </c>
      <c r="N56" s="45">
        <f>SUM(Tabla1[[#This Row],[TRIMESTRE  I]:[TRIMESTRE IV]])</f>
        <v>43782</v>
      </c>
      <c r="O56" s="39"/>
      <c r="P56" s="39"/>
      <c r="Q56" s="59"/>
    </row>
    <row r="57" spans="2:17" ht="33.75" x14ac:dyDescent="0.2">
      <c r="B57" s="34">
        <v>201</v>
      </c>
      <c r="C57" s="35" t="s">
        <v>467</v>
      </c>
      <c r="D57" s="36">
        <v>530</v>
      </c>
      <c r="E57" s="43" t="str">
        <f>IF(D57&lt;=0,"",VLOOKUP(D57,[1]FF!A:D,2,0))</f>
        <v>PARTICIPACIONES Ramo 28</v>
      </c>
      <c r="F57" s="37" t="s">
        <v>475</v>
      </c>
      <c r="G57" s="37" t="s">
        <v>458</v>
      </c>
      <c r="H57" s="38">
        <v>323001</v>
      </c>
      <c r="I57" s="44" t="str">
        <f>IF(H57&lt;=0,"",VLOOKUP(H57,COG!A:H,2,0))</f>
        <v>Arrendamiento de maquinaria y equipo</v>
      </c>
      <c r="J57" s="39">
        <v>31416</v>
      </c>
      <c r="K57" s="39">
        <v>31392</v>
      </c>
      <c r="L57" s="39">
        <v>30950</v>
      </c>
      <c r="M57" s="39">
        <v>30946</v>
      </c>
      <c r="N57" s="45">
        <f>SUM(Tabla1[[#This Row],[TRIMESTRE  I]:[TRIMESTRE IV]])</f>
        <v>124704</v>
      </c>
      <c r="O57" s="39" t="s">
        <v>5</v>
      </c>
      <c r="P57" s="39" t="s">
        <v>472</v>
      </c>
      <c r="Q57" s="59" t="s">
        <v>470</v>
      </c>
    </row>
    <row r="58" spans="2:17" ht="33.75" x14ac:dyDescent="0.2">
      <c r="B58" s="34">
        <v>201</v>
      </c>
      <c r="C58" s="35" t="s">
        <v>467</v>
      </c>
      <c r="D58" s="36">
        <v>530</v>
      </c>
      <c r="E58" s="43" t="str">
        <f>IF(D58&lt;=0,"",VLOOKUP(D58,[1]FF!A:D,2,0))</f>
        <v>PARTICIPACIONES Ramo 28</v>
      </c>
      <c r="F58" s="37" t="s">
        <v>475</v>
      </c>
      <c r="G58" s="37" t="s">
        <v>458</v>
      </c>
      <c r="H58" s="38">
        <v>329001</v>
      </c>
      <c r="I58" s="44" t="str">
        <f>IF(H58&lt;=0,"",VLOOKUP(H58,COG!A:H,2,0))</f>
        <v>Arrendamientos especiales</v>
      </c>
      <c r="J58" s="39">
        <v>1093</v>
      </c>
      <c r="K58" s="39">
        <v>1090</v>
      </c>
      <c r="L58" s="39">
        <v>1080</v>
      </c>
      <c r="M58" s="39">
        <v>1080</v>
      </c>
      <c r="N58" s="45">
        <f>SUM(Tabla1[[#This Row],[TRIMESTRE  I]:[TRIMESTRE IV]])</f>
        <v>4343</v>
      </c>
      <c r="O58" s="39" t="s">
        <v>6</v>
      </c>
      <c r="P58" s="39" t="s">
        <v>469</v>
      </c>
      <c r="Q58" s="59" t="s">
        <v>471</v>
      </c>
    </row>
    <row r="59" spans="2:17" ht="33.75" x14ac:dyDescent="0.2">
      <c r="B59" s="34">
        <v>201</v>
      </c>
      <c r="C59" s="35" t="s">
        <v>467</v>
      </c>
      <c r="D59" s="36">
        <v>530</v>
      </c>
      <c r="E59" s="43" t="str">
        <f>IF(D59&lt;=0,"",VLOOKUP(D59,[1]FF!A:D,2,0))</f>
        <v>PARTICIPACIONES Ramo 28</v>
      </c>
      <c r="F59" s="37" t="s">
        <v>475</v>
      </c>
      <c r="G59" s="37" t="s">
        <v>458</v>
      </c>
      <c r="H59" s="38">
        <v>345001</v>
      </c>
      <c r="I59" s="44" t="str">
        <f>IF(H59&lt;=0,"",VLOOKUP(H59,COG!A:H,2,0))</f>
        <v>Seguros</v>
      </c>
      <c r="J59" s="39">
        <v>30000</v>
      </c>
      <c r="K59" s="39">
        <v>10000</v>
      </c>
      <c r="L59" s="39">
        <v>0</v>
      </c>
      <c r="M59" s="39"/>
      <c r="N59" s="45">
        <f>SUM(Tabla1[[#This Row],[TRIMESTRE  I]:[TRIMESTRE IV]])</f>
        <v>40000</v>
      </c>
      <c r="O59" s="39" t="s">
        <v>5</v>
      </c>
      <c r="P59" s="39" t="s">
        <v>472</v>
      </c>
      <c r="Q59" s="59" t="s">
        <v>470</v>
      </c>
    </row>
    <row r="60" spans="2:17" ht="33.75" x14ac:dyDescent="0.2">
      <c r="B60" s="34">
        <v>201</v>
      </c>
      <c r="C60" s="35" t="s">
        <v>467</v>
      </c>
      <c r="D60" s="36">
        <v>530</v>
      </c>
      <c r="E60" s="43" t="str">
        <f>IF(D60&lt;=0,"",VLOOKUP(D60,[1]FF!A:D,2,0))</f>
        <v>PARTICIPACIONES Ramo 28</v>
      </c>
      <c r="F60" s="37" t="s">
        <v>475</v>
      </c>
      <c r="G60" s="37" t="s">
        <v>458</v>
      </c>
      <c r="H60" s="38">
        <v>351001</v>
      </c>
      <c r="I60" s="44" t="str">
        <f>IF(H60&lt;=0,"",VLOOKUP(H60,COG!A:H,2,0))</f>
        <v>Mantenimiento de inmuebles</v>
      </c>
      <c r="J60" s="39">
        <v>12110</v>
      </c>
      <c r="K60" s="39">
        <v>23971</v>
      </c>
      <c r="L60" s="39">
        <v>8935</v>
      </c>
      <c r="M60" s="39">
        <v>10623</v>
      </c>
      <c r="N60" s="45">
        <f>SUM(Tabla1[[#This Row],[TRIMESTRE  I]:[TRIMESTRE IV]])</f>
        <v>55639</v>
      </c>
      <c r="O60" s="39" t="s">
        <v>6</v>
      </c>
      <c r="P60" s="39" t="s">
        <v>469</v>
      </c>
      <c r="Q60" s="59" t="s">
        <v>471</v>
      </c>
    </row>
    <row r="61" spans="2:17" ht="33.75" x14ac:dyDescent="0.2">
      <c r="B61" s="34">
        <v>201</v>
      </c>
      <c r="C61" s="35" t="s">
        <v>467</v>
      </c>
      <c r="D61" s="36">
        <v>530</v>
      </c>
      <c r="E61" s="43" t="str">
        <f>IF(D61&lt;=0,"",VLOOKUP(D61,[1]FF!A:D,2,0))</f>
        <v>PARTICIPACIONES Ramo 28</v>
      </c>
      <c r="F61" s="37" t="s">
        <v>475</v>
      </c>
      <c r="G61" s="37" t="s">
        <v>458</v>
      </c>
      <c r="H61" s="38">
        <v>352001</v>
      </c>
      <c r="I61" s="44" t="str">
        <f>IF(H61&lt;=0,"",VLOOKUP(H61,COG!A:H,2,0))</f>
        <v>Mantenimiento de mobiliario y equipo</v>
      </c>
      <c r="J61" s="39">
        <v>1275</v>
      </c>
      <c r="K61" s="39">
        <v>1275</v>
      </c>
      <c r="L61" s="39">
        <v>1275</v>
      </c>
      <c r="M61" s="39">
        <v>1275</v>
      </c>
      <c r="N61" s="45">
        <f>SUM(Tabla1[[#This Row],[TRIMESTRE  I]:[TRIMESTRE IV]])</f>
        <v>5100</v>
      </c>
      <c r="O61" s="39" t="s">
        <v>6</v>
      </c>
      <c r="P61" s="39" t="s">
        <v>469</v>
      </c>
      <c r="Q61" s="59" t="s">
        <v>471</v>
      </c>
    </row>
    <row r="62" spans="2:17" ht="33.75" x14ac:dyDescent="0.2">
      <c r="B62" s="34">
        <v>201</v>
      </c>
      <c r="C62" s="35" t="s">
        <v>467</v>
      </c>
      <c r="D62" s="36">
        <v>530</v>
      </c>
      <c r="E62" s="43" t="str">
        <f>IF(D62&lt;=0,"",VLOOKUP(D62,[1]FF!A:D,2,0))</f>
        <v>PARTICIPACIONES Ramo 28</v>
      </c>
      <c r="F62" s="37" t="s">
        <v>475</v>
      </c>
      <c r="G62" s="37" t="s">
        <v>458</v>
      </c>
      <c r="H62" s="38">
        <v>355001</v>
      </c>
      <c r="I62" s="44" t="str">
        <f>IF(H62&lt;=0,"",VLOOKUP(H62,COG!A:H,2,0))</f>
        <v>Mantto. y conservación de vehículos terrestres, aéreos, marítimos, lacustres y fluviales</v>
      </c>
      <c r="J62" s="39">
        <v>44889</v>
      </c>
      <c r="K62" s="39">
        <v>44889</v>
      </c>
      <c r="L62" s="39">
        <v>44889</v>
      </c>
      <c r="M62" s="39">
        <v>44889</v>
      </c>
      <c r="N62" s="45">
        <f>SUM(Tabla1[[#This Row],[TRIMESTRE  I]:[TRIMESTRE IV]])</f>
        <v>179556</v>
      </c>
      <c r="O62" s="39" t="s">
        <v>6</v>
      </c>
      <c r="P62" s="39" t="s">
        <v>469</v>
      </c>
      <c r="Q62" s="59" t="s">
        <v>471</v>
      </c>
    </row>
    <row r="63" spans="2:17" ht="33.75" x14ac:dyDescent="0.2">
      <c r="B63" s="34">
        <v>201</v>
      </c>
      <c r="C63" s="35" t="s">
        <v>467</v>
      </c>
      <c r="D63" s="36">
        <v>530</v>
      </c>
      <c r="E63" s="43" t="str">
        <f>IF(D63&lt;=0,"",VLOOKUP(D63,[1]FF!A:D,2,0))</f>
        <v>PARTICIPACIONES Ramo 28</v>
      </c>
      <c r="F63" s="37" t="s">
        <v>475</v>
      </c>
      <c r="G63" s="37" t="s">
        <v>458</v>
      </c>
      <c r="H63" s="38">
        <v>371001</v>
      </c>
      <c r="I63" s="44" t="str">
        <f>IF(H63&lt;=0,"",VLOOKUP(H63,COG!A:H,2,0))</f>
        <v>Pasajes aéreos</v>
      </c>
      <c r="J63" s="39">
        <v>1466</v>
      </c>
      <c r="K63" s="39">
        <v>1464</v>
      </c>
      <c r="L63" s="39">
        <v>1451</v>
      </c>
      <c r="M63" s="39">
        <v>1450</v>
      </c>
      <c r="N63" s="45">
        <f>SUM(Tabla1[[#This Row],[TRIMESTRE  I]:[TRIMESTRE IV]])</f>
        <v>5831</v>
      </c>
      <c r="O63" s="39" t="s">
        <v>5</v>
      </c>
      <c r="P63" s="39" t="s">
        <v>472</v>
      </c>
      <c r="Q63" s="59" t="s">
        <v>470</v>
      </c>
    </row>
    <row r="64" spans="2:17" ht="33.75" x14ac:dyDescent="0.2">
      <c r="B64" s="34">
        <v>201</v>
      </c>
      <c r="C64" s="35" t="s">
        <v>467</v>
      </c>
      <c r="D64" s="36">
        <v>530</v>
      </c>
      <c r="E64" s="43" t="str">
        <f>IF(D64&lt;=0,"",VLOOKUP(D64,[1]FF!A:D,2,0))</f>
        <v>PARTICIPACIONES Ramo 28</v>
      </c>
      <c r="F64" s="37" t="s">
        <v>475</v>
      </c>
      <c r="G64" s="37" t="s">
        <v>458</v>
      </c>
      <c r="H64" s="38">
        <v>375001</v>
      </c>
      <c r="I64" s="44" t="str">
        <f>IF(H64&lt;=0,"",VLOOKUP(H64,COG!A:H,2,0))</f>
        <v>Viáticos</v>
      </c>
      <c r="J64" s="39">
        <v>6905</v>
      </c>
      <c r="K64" s="39">
        <v>6896</v>
      </c>
      <c r="L64" s="39">
        <v>6837</v>
      </c>
      <c r="M64" s="39">
        <v>6836</v>
      </c>
      <c r="N64" s="45">
        <f>SUM(Tabla1[[#This Row],[TRIMESTRE  I]:[TRIMESTRE IV]])</f>
        <v>27474</v>
      </c>
      <c r="O64" s="39" t="s">
        <v>6</v>
      </c>
      <c r="P64" s="39" t="s">
        <v>469</v>
      </c>
      <c r="Q64" s="59" t="s">
        <v>471</v>
      </c>
    </row>
    <row r="65" spans="2:17" ht="33.75" x14ac:dyDescent="0.2">
      <c r="B65" s="34">
        <v>201</v>
      </c>
      <c r="C65" s="35" t="s">
        <v>467</v>
      </c>
      <c r="D65" s="36">
        <v>530</v>
      </c>
      <c r="E65" s="43" t="str">
        <f>IF(D65&lt;=0,"",VLOOKUP(D65,[1]FF!A:D,2,0))</f>
        <v>PARTICIPACIONES Ramo 28</v>
      </c>
      <c r="F65" s="37" t="s">
        <v>475</v>
      </c>
      <c r="G65" s="37" t="s">
        <v>458</v>
      </c>
      <c r="H65" s="38">
        <v>382002</v>
      </c>
      <c r="I65" s="44" t="str">
        <f>IF(H65&lt;=0,"",VLOOKUP(H65,COG!A:H,2,0))</f>
        <v>Gastos de recepción, conmemorativos y de orden social</v>
      </c>
      <c r="J65" s="39">
        <v>43929</v>
      </c>
      <c r="K65" s="39">
        <v>43926</v>
      </c>
      <c r="L65" s="39">
        <v>43926</v>
      </c>
      <c r="M65" s="39">
        <v>43926</v>
      </c>
      <c r="N65" s="45">
        <f>SUM(Tabla1[[#This Row],[TRIMESTRE  I]:[TRIMESTRE IV]])</f>
        <v>175707</v>
      </c>
      <c r="O65" s="39" t="s">
        <v>6</v>
      </c>
      <c r="P65" s="39" t="s">
        <v>469</v>
      </c>
      <c r="Q65" s="59" t="s">
        <v>471</v>
      </c>
    </row>
    <row r="66" spans="2:17" ht="22.5" x14ac:dyDescent="0.2">
      <c r="B66" s="34">
        <v>201</v>
      </c>
      <c r="C66" s="35" t="s">
        <v>467</v>
      </c>
      <c r="D66" s="36">
        <v>530</v>
      </c>
      <c r="E66" s="43" t="str">
        <f>IF(D66&lt;=0,"",VLOOKUP(D66,[1]FF!A:D,2,0))</f>
        <v>PARTICIPACIONES Ramo 28</v>
      </c>
      <c r="F66" s="37" t="s">
        <v>476</v>
      </c>
      <c r="G66" s="37" t="s">
        <v>461</v>
      </c>
      <c r="H66" s="38">
        <v>211001</v>
      </c>
      <c r="I66" s="44" t="str">
        <f>IF(H66&lt;=0,"",VLOOKUP(H66,COG!A:H,2,0))</f>
        <v>Material de oficina</v>
      </c>
      <c r="J66" s="39">
        <v>705</v>
      </c>
      <c r="K66" s="39">
        <v>705</v>
      </c>
      <c r="L66" s="39">
        <v>705</v>
      </c>
      <c r="M66" s="39">
        <v>705</v>
      </c>
      <c r="N66" s="45">
        <f>SUM(Tabla1[[#This Row],[TRIMESTRE  I]:[TRIMESTRE IV]])</f>
        <v>2820</v>
      </c>
      <c r="O66" s="39" t="s">
        <v>5</v>
      </c>
      <c r="P66" s="39" t="s">
        <v>472</v>
      </c>
      <c r="Q66" s="59" t="s">
        <v>470</v>
      </c>
    </row>
    <row r="67" spans="2:17" ht="22.5" x14ac:dyDescent="0.2">
      <c r="B67" s="34">
        <v>201</v>
      </c>
      <c r="C67" s="35" t="s">
        <v>467</v>
      </c>
      <c r="D67" s="36">
        <v>530</v>
      </c>
      <c r="E67" s="43" t="str">
        <f>IF(D67&lt;=0,"",VLOOKUP(D67,[1]FF!A:D,2,0))</f>
        <v>PARTICIPACIONES Ramo 28</v>
      </c>
      <c r="F67" s="37" t="s">
        <v>476</v>
      </c>
      <c r="G67" s="37" t="s">
        <v>461</v>
      </c>
      <c r="H67" s="38">
        <v>212001</v>
      </c>
      <c r="I67" s="44" t="str">
        <f>IF(H67&lt;=0,"",VLOOKUP(H67,COG!A:H,2,0))</f>
        <v>Material y útiles de impresión</v>
      </c>
      <c r="J67" s="39">
        <v>705</v>
      </c>
      <c r="K67" s="39">
        <v>705</v>
      </c>
      <c r="L67" s="39">
        <v>705</v>
      </c>
      <c r="M67" s="39">
        <v>705</v>
      </c>
      <c r="N67" s="45">
        <f>SUM(Tabla1[[#This Row],[TRIMESTRE  I]:[TRIMESTRE IV]])</f>
        <v>2820</v>
      </c>
      <c r="O67" s="39" t="s">
        <v>6</v>
      </c>
      <c r="P67" s="39" t="s">
        <v>469</v>
      </c>
      <c r="Q67" s="59" t="s">
        <v>471</v>
      </c>
    </row>
    <row r="68" spans="2:17" ht="22.5" x14ac:dyDescent="0.2">
      <c r="B68" s="34">
        <v>201</v>
      </c>
      <c r="C68" s="35" t="s">
        <v>467</v>
      </c>
      <c r="D68" s="36">
        <v>530</v>
      </c>
      <c r="E68" s="43" t="str">
        <f>IF(D68&lt;=0,"",VLOOKUP(D68,[1]FF!A:D,2,0))</f>
        <v>PARTICIPACIONES Ramo 28</v>
      </c>
      <c r="F68" s="37" t="s">
        <v>476</v>
      </c>
      <c r="G68" s="37" t="s">
        <v>461</v>
      </c>
      <c r="H68" s="38">
        <v>216001</v>
      </c>
      <c r="I68" s="44" t="str">
        <f>IF(H68&lt;=0,"",VLOOKUP(H68,COG!A:H,2,0))</f>
        <v>Material de limpieza</v>
      </c>
      <c r="J68" s="39">
        <v>1657</v>
      </c>
      <c r="K68" s="39">
        <v>1658</v>
      </c>
      <c r="L68" s="39">
        <v>1658</v>
      </c>
      <c r="M68" s="39">
        <v>1657</v>
      </c>
      <c r="N68" s="45">
        <f>SUM(Tabla1[[#This Row],[TRIMESTRE  I]:[TRIMESTRE IV]])</f>
        <v>6630</v>
      </c>
      <c r="O68" s="39" t="s">
        <v>5</v>
      </c>
      <c r="P68" s="39" t="s">
        <v>472</v>
      </c>
      <c r="Q68" s="59" t="s">
        <v>470</v>
      </c>
    </row>
    <row r="69" spans="2:17" ht="22.5" x14ac:dyDescent="0.2">
      <c r="B69" s="34">
        <v>201</v>
      </c>
      <c r="C69" s="35" t="s">
        <v>467</v>
      </c>
      <c r="D69" s="36">
        <v>530</v>
      </c>
      <c r="E69" s="43" t="str">
        <f>IF(D69&lt;=0,"",VLOOKUP(D69,[1]FF!A:D,2,0))</f>
        <v>PARTICIPACIONES Ramo 28</v>
      </c>
      <c r="F69" s="37" t="s">
        <v>476</v>
      </c>
      <c r="G69" s="37" t="s">
        <v>461</v>
      </c>
      <c r="H69" s="38">
        <v>261001</v>
      </c>
      <c r="I69" s="44" t="str">
        <f>IF(H69&lt;=0,"",VLOOKUP(H69,COG!A:H,2,0))</f>
        <v>Combustibles</v>
      </c>
      <c r="J69" s="39">
        <v>16032</v>
      </c>
      <c r="K69" s="39">
        <v>16032</v>
      </c>
      <c r="L69" s="39">
        <v>16032</v>
      </c>
      <c r="M69" s="39">
        <v>16031</v>
      </c>
      <c r="N69" s="45">
        <f>SUM(Tabla1[[#This Row],[TRIMESTRE  I]:[TRIMESTRE IV]])</f>
        <v>64127</v>
      </c>
      <c r="O69" s="39" t="s">
        <v>5</v>
      </c>
      <c r="P69" s="39" t="s">
        <v>472</v>
      </c>
      <c r="Q69" s="59" t="s">
        <v>470</v>
      </c>
    </row>
    <row r="70" spans="2:17" ht="22.5" x14ac:dyDescent="0.2">
      <c r="B70" s="34">
        <v>201</v>
      </c>
      <c r="C70" s="35" t="s">
        <v>467</v>
      </c>
      <c r="D70" s="36">
        <v>530</v>
      </c>
      <c r="E70" s="43" t="str">
        <f>IF(D70&lt;=0,"",VLOOKUP(D70,[1]FF!A:D,2,0))</f>
        <v>PARTICIPACIONES Ramo 28</v>
      </c>
      <c r="F70" s="37" t="s">
        <v>476</v>
      </c>
      <c r="G70" s="37" t="s">
        <v>461</v>
      </c>
      <c r="H70" s="38">
        <v>296001</v>
      </c>
      <c r="I70" s="44" t="str">
        <f>IF(H70&lt;=0,"",VLOOKUP(H70,COG!A:H,2,0))</f>
        <v>Herramientas, refacciones y accesorios</v>
      </c>
      <c r="J70" s="39">
        <v>1305</v>
      </c>
      <c r="K70" s="39">
        <v>1305</v>
      </c>
      <c r="L70" s="39">
        <v>1305</v>
      </c>
      <c r="M70" s="39">
        <v>1301</v>
      </c>
      <c r="N70" s="45">
        <f>SUM(Tabla1[[#This Row],[TRIMESTRE  I]:[TRIMESTRE IV]])</f>
        <v>5216</v>
      </c>
      <c r="O70" s="39" t="s">
        <v>6</v>
      </c>
      <c r="P70" s="39" t="s">
        <v>469</v>
      </c>
      <c r="Q70" s="59" t="s">
        <v>471</v>
      </c>
    </row>
    <row r="71" spans="2:17" ht="27" x14ac:dyDescent="0.2">
      <c r="B71" s="34">
        <v>201</v>
      </c>
      <c r="C71" s="35" t="s">
        <v>467</v>
      </c>
      <c r="D71" s="36">
        <v>530</v>
      </c>
      <c r="E71" s="43" t="str">
        <f>IF(D71&lt;=0,"",VLOOKUP(D71,[1]FF!A:D,2,0))</f>
        <v>PARTICIPACIONES Ramo 28</v>
      </c>
      <c r="F71" s="37" t="s">
        <v>476</v>
      </c>
      <c r="G71" s="37" t="s">
        <v>458</v>
      </c>
      <c r="H71" s="38">
        <v>355001</v>
      </c>
      <c r="I71" s="44" t="str">
        <f>IF(H71&lt;=0,"",VLOOKUP(H71,COG!A:H,2,0))</f>
        <v>Mantto. y conservación de vehículos terrestres, aéreos, marítimos, lacustres y fluviales</v>
      </c>
      <c r="J71" s="39">
        <v>11400</v>
      </c>
      <c r="K71" s="39">
        <v>11404</v>
      </c>
      <c r="L71" s="39">
        <v>11400</v>
      </c>
      <c r="M71" s="39">
        <v>11400</v>
      </c>
      <c r="N71" s="45">
        <f>SUM(Tabla1[[#This Row],[TRIMESTRE  I]:[TRIMESTRE IV]])</f>
        <v>45604</v>
      </c>
      <c r="O71" s="39" t="s">
        <v>6</v>
      </c>
      <c r="P71" s="39" t="s">
        <v>469</v>
      </c>
      <c r="Q71" s="59" t="s">
        <v>471</v>
      </c>
    </row>
    <row r="72" spans="2:17" ht="22.5" x14ac:dyDescent="0.2">
      <c r="B72" s="34">
        <v>201</v>
      </c>
      <c r="C72" s="35" t="s">
        <v>467</v>
      </c>
      <c r="D72" s="36">
        <v>530</v>
      </c>
      <c r="E72" s="43" t="str">
        <f>IF(D72&lt;=0,"",VLOOKUP(D72,[1]FF!A:D,2,0))</f>
        <v>PARTICIPACIONES Ramo 28</v>
      </c>
      <c r="F72" s="37" t="s">
        <v>476</v>
      </c>
      <c r="G72" s="37" t="s">
        <v>458</v>
      </c>
      <c r="H72" s="38">
        <v>371001</v>
      </c>
      <c r="I72" s="44" t="str">
        <f>IF(H72&lt;=0,"",VLOOKUP(H72,COG!A:H,2,0))</f>
        <v>Pasajes aéreos</v>
      </c>
      <c r="J72" s="39">
        <v>2892</v>
      </c>
      <c r="K72" s="39">
        <v>2892</v>
      </c>
      <c r="L72" s="39">
        <v>2895</v>
      </c>
      <c r="M72" s="39">
        <v>2892</v>
      </c>
      <c r="N72" s="45">
        <f>SUM(Tabla1[[#This Row],[TRIMESTRE  I]:[TRIMESTRE IV]])</f>
        <v>11571</v>
      </c>
      <c r="O72" s="39" t="s">
        <v>5</v>
      </c>
      <c r="P72" s="39" t="s">
        <v>472</v>
      </c>
      <c r="Q72" s="59" t="s">
        <v>470</v>
      </c>
    </row>
    <row r="73" spans="2:17" ht="22.5" x14ac:dyDescent="0.2">
      <c r="B73" s="34">
        <v>201</v>
      </c>
      <c r="C73" s="35" t="s">
        <v>467</v>
      </c>
      <c r="D73" s="36">
        <v>530</v>
      </c>
      <c r="E73" s="43" t="str">
        <f>IF(D73&lt;=0,"",VLOOKUP(D73,[1]FF!A:D,2,0))</f>
        <v>PARTICIPACIONES Ramo 28</v>
      </c>
      <c r="F73" s="37" t="s">
        <v>476</v>
      </c>
      <c r="G73" s="37" t="s">
        <v>458</v>
      </c>
      <c r="H73" s="38">
        <v>375001</v>
      </c>
      <c r="I73" s="44" t="str">
        <f>IF(H73&lt;=0,"",VLOOKUP(H73,COG!A:H,2,0))</f>
        <v>Viáticos</v>
      </c>
      <c r="J73" s="39">
        <v>1611</v>
      </c>
      <c r="K73" s="39">
        <v>1611</v>
      </c>
      <c r="L73" s="39">
        <v>1611</v>
      </c>
      <c r="M73" s="39">
        <v>1609</v>
      </c>
      <c r="N73" s="45">
        <f>SUM(Tabla1[[#This Row],[TRIMESTRE  I]:[TRIMESTRE IV]])</f>
        <v>6442</v>
      </c>
      <c r="O73" s="39" t="s">
        <v>6</v>
      </c>
      <c r="P73" s="39" t="s">
        <v>469</v>
      </c>
      <c r="Q73" s="59" t="s">
        <v>471</v>
      </c>
    </row>
    <row r="74" spans="2:17" ht="22.5" x14ac:dyDescent="0.2">
      <c r="B74" s="34">
        <v>201</v>
      </c>
      <c r="C74" s="35" t="s">
        <v>467</v>
      </c>
      <c r="D74" s="36">
        <v>530</v>
      </c>
      <c r="E74" s="43" t="str">
        <f>IF(D74&lt;=0,"",VLOOKUP(D74,[1]FF!A:D,2,0))</f>
        <v>PARTICIPACIONES Ramo 28</v>
      </c>
      <c r="F74" s="37" t="s">
        <v>477</v>
      </c>
      <c r="G74" s="37" t="s">
        <v>461</v>
      </c>
      <c r="H74" s="38">
        <v>211001</v>
      </c>
      <c r="I74" s="44" t="str">
        <f>IF(H74&lt;=0,"",VLOOKUP(H74,COG!A:H,2,0))</f>
        <v>Material de oficina</v>
      </c>
      <c r="J74" s="39">
        <v>1617</v>
      </c>
      <c r="K74" s="39">
        <v>1617</v>
      </c>
      <c r="L74" s="39">
        <v>1617</v>
      </c>
      <c r="M74" s="39">
        <v>1614</v>
      </c>
      <c r="N74" s="45">
        <f>SUM(Tabla1[[#This Row],[TRIMESTRE  I]:[TRIMESTRE IV]])</f>
        <v>6465</v>
      </c>
      <c r="O74" s="39" t="s">
        <v>6</v>
      </c>
      <c r="P74" s="39" t="s">
        <v>469</v>
      </c>
      <c r="Q74" s="59" t="s">
        <v>471</v>
      </c>
    </row>
    <row r="75" spans="2:17" ht="22.5" x14ac:dyDescent="0.2">
      <c r="B75" s="34">
        <v>201</v>
      </c>
      <c r="C75" s="35" t="s">
        <v>467</v>
      </c>
      <c r="D75" s="36">
        <v>530</v>
      </c>
      <c r="E75" s="43" t="str">
        <f>IF(D75&lt;=0,"",VLOOKUP(D75,[1]FF!A:D,2,0))</f>
        <v>PARTICIPACIONES Ramo 28</v>
      </c>
      <c r="F75" s="37" t="s">
        <v>477</v>
      </c>
      <c r="G75" s="37" t="s">
        <v>461</v>
      </c>
      <c r="H75" s="38">
        <v>216001</v>
      </c>
      <c r="I75" s="44" t="str">
        <f>IF(H75&lt;=0,"",VLOOKUP(H75,COG!A:H,2,0))</f>
        <v>Material de limpieza</v>
      </c>
      <c r="J75" s="39">
        <v>3016</v>
      </c>
      <c r="K75" s="39">
        <v>3015</v>
      </c>
      <c r="L75" s="39">
        <v>3018</v>
      </c>
      <c r="M75" s="39">
        <v>3013</v>
      </c>
      <c r="N75" s="45">
        <f>SUM(Tabla1[[#This Row],[TRIMESTRE  I]:[TRIMESTRE IV]])</f>
        <v>12062</v>
      </c>
      <c r="O75" s="39" t="s">
        <v>5</v>
      </c>
      <c r="P75" s="39" t="s">
        <v>472</v>
      </c>
      <c r="Q75" s="59" t="s">
        <v>470</v>
      </c>
    </row>
    <row r="76" spans="2:17" ht="22.5" x14ac:dyDescent="0.2">
      <c r="B76" s="34">
        <v>201</v>
      </c>
      <c r="C76" s="35" t="s">
        <v>467</v>
      </c>
      <c r="D76" s="36">
        <v>530</v>
      </c>
      <c r="E76" s="43" t="str">
        <f>IF(D76&lt;=0,"",VLOOKUP(D76,[1]FF!A:D,2,0))</f>
        <v>PARTICIPACIONES Ramo 28</v>
      </c>
      <c r="F76" s="37" t="s">
        <v>477</v>
      </c>
      <c r="G76" s="37" t="s">
        <v>461</v>
      </c>
      <c r="H76" s="38">
        <v>221001</v>
      </c>
      <c r="I76" s="44" t="str">
        <f>IF(H76&lt;=0,"",VLOOKUP(H76,COG!A:H,2,0))</f>
        <v>Alimentación de personas</v>
      </c>
      <c r="J76" s="39">
        <v>2832</v>
      </c>
      <c r="K76" s="39">
        <v>2832</v>
      </c>
      <c r="L76" s="39">
        <v>2831</v>
      </c>
      <c r="M76" s="39">
        <v>2829</v>
      </c>
      <c r="N76" s="45">
        <f>SUM(Tabla1[[#This Row],[TRIMESTRE  I]:[TRIMESTRE IV]])</f>
        <v>11324</v>
      </c>
      <c r="O76" s="39" t="s">
        <v>5</v>
      </c>
      <c r="P76" s="39" t="s">
        <v>472</v>
      </c>
      <c r="Q76" s="59" t="s">
        <v>470</v>
      </c>
    </row>
    <row r="77" spans="2:17" ht="22.5" x14ac:dyDescent="0.2">
      <c r="B77" s="34">
        <v>201</v>
      </c>
      <c r="C77" s="35" t="s">
        <v>467</v>
      </c>
      <c r="D77" s="36">
        <v>530</v>
      </c>
      <c r="E77" s="43" t="str">
        <f>IF(D77&lt;=0,"",VLOOKUP(D77,[1]FF!A:D,2,0))</f>
        <v>PARTICIPACIONES Ramo 28</v>
      </c>
      <c r="F77" s="37" t="s">
        <v>477</v>
      </c>
      <c r="G77" s="37" t="s">
        <v>461</v>
      </c>
      <c r="H77" s="38">
        <v>261001</v>
      </c>
      <c r="I77" s="44" t="str">
        <f>IF(H77&lt;=0,"",VLOOKUP(H77,COG!A:H,2,0))</f>
        <v>Combustibles</v>
      </c>
      <c r="J77" s="39">
        <v>53436</v>
      </c>
      <c r="K77" s="39">
        <v>53436</v>
      </c>
      <c r="L77" s="39">
        <v>53436</v>
      </c>
      <c r="M77" s="39">
        <v>53440</v>
      </c>
      <c r="N77" s="45">
        <f>SUM(Tabla1[[#This Row],[TRIMESTRE  I]:[TRIMESTRE IV]])</f>
        <v>213748</v>
      </c>
      <c r="O77" s="39" t="s">
        <v>6</v>
      </c>
      <c r="P77" s="39" t="s">
        <v>469</v>
      </c>
      <c r="Q77" s="59" t="s">
        <v>471</v>
      </c>
    </row>
    <row r="78" spans="2:17" ht="22.5" x14ac:dyDescent="0.2">
      <c r="B78" s="34">
        <v>201</v>
      </c>
      <c r="C78" s="35" t="s">
        <v>467</v>
      </c>
      <c r="D78" s="36">
        <v>530</v>
      </c>
      <c r="E78" s="43" t="str">
        <f>IF(D78&lt;=0,"",VLOOKUP(D78,[1]FF!A:D,2,0))</f>
        <v>PARTICIPACIONES Ramo 28</v>
      </c>
      <c r="F78" s="37" t="s">
        <v>477</v>
      </c>
      <c r="G78" s="37" t="s">
        <v>461</v>
      </c>
      <c r="H78" s="38">
        <v>296001</v>
      </c>
      <c r="I78" s="44" t="str">
        <f>IF(H78&lt;=0,"",VLOOKUP(H78,COG!A:H,2,0))</f>
        <v>Herramientas, refacciones y accesorios</v>
      </c>
      <c r="J78" s="39">
        <v>6000</v>
      </c>
      <c r="K78" s="39">
        <v>6000</v>
      </c>
      <c r="L78" s="39">
        <v>6000</v>
      </c>
      <c r="M78" s="39">
        <v>6000</v>
      </c>
      <c r="N78" s="45">
        <f>SUM(Tabla1[[#This Row],[TRIMESTRE  I]:[TRIMESTRE IV]])</f>
        <v>24000</v>
      </c>
      <c r="O78" s="39" t="s">
        <v>5</v>
      </c>
      <c r="P78" s="39" t="s">
        <v>472</v>
      </c>
      <c r="Q78" s="59" t="s">
        <v>470</v>
      </c>
    </row>
    <row r="79" spans="2:17" ht="22.5" x14ac:dyDescent="0.2">
      <c r="B79" s="34">
        <v>201</v>
      </c>
      <c r="C79" s="35" t="s">
        <v>467</v>
      </c>
      <c r="D79" s="36">
        <v>530</v>
      </c>
      <c r="E79" s="43" t="str">
        <f>IF(D79&lt;=0,"",VLOOKUP(D79,[1]FF!A:D,2,0))</f>
        <v>PARTICIPACIONES Ramo 28</v>
      </c>
      <c r="F79" s="37" t="s">
        <v>477</v>
      </c>
      <c r="G79" s="37" t="s">
        <v>458</v>
      </c>
      <c r="H79" s="38">
        <v>323001</v>
      </c>
      <c r="I79" s="44" t="str">
        <f>IF(H79&lt;=0,"",VLOOKUP(H79,COG!A:H,2,0))</f>
        <v>Arrendamiento de maquinaria y equipo</v>
      </c>
      <c r="J79" s="39">
        <v>36531</v>
      </c>
      <c r="K79" s="39">
        <v>36531</v>
      </c>
      <c r="L79" s="39">
        <v>36531</v>
      </c>
      <c r="M79" s="39">
        <v>36531</v>
      </c>
      <c r="N79" s="45">
        <f>SUM(Tabla1[[#This Row],[TRIMESTRE  I]:[TRIMESTRE IV]])</f>
        <v>146124</v>
      </c>
      <c r="O79" s="39" t="s">
        <v>6</v>
      </c>
      <c r="P79" s="39" t="s">
        <v>469</v>
      </c>
      <c r="Q79" s="59" t="s">
        <v>471</v>
      </c>
    </row>
    <row r="80" spans="2:17" ht="27" x14ac:dyDescent="0.2">
      <c r="B80" s="34">
        <v>201</v>
      </c>
      <c r="C80" s="35" t="s">
        <v>467</v>
      </c>
      <c r="D80" s="36">
        <v>530</v>
      </c>
      <c r="E80" s="43" t="str">
        <f>IF(D80&lt;=0,"",VLOOKUP(D80,[1]FF!A:D,2,0))</f>
        <v>PARTICIPACIONES Ramo 28</v>
      </c>
      <c r="F80" s="37" t="s">
        <v>477</v>
      </c>
      <c r="G80" s="37" t="s">
        <v>458</v>
      </c>
      <c r="H80" s="38">
        <v>355001</v>
      </c>
      <c r="I80" s="44" t="str">
        <f>IF(H80&lt;=0,"",VLOOKUP(H80,COG!A:H,2,0))</f>
        <v>Mantto. y conservación de vehículos terrestres, aéreos, marítimos, lacustres y fluviales</v>
      </c>
      <c r="J80" s="39">
        <v>16280</v>
      </c>
      <c r="K80" s="39">
        <v>16870</v>
      </c>
      <c r="L80" s="39">
        <v>15368</v>
      </c>
      <c r="M80" s="39">
        <v>7125</v>
      </c>
      <c r="N80" s="45">
        <f>SUM(Tabla1[[#This Row],[TRIMESTRE  I]:[TRIMESTRE IV]])</f>
        <v>55643</v>
      </c>
      <c r="O80" s="39" t="s">
        <v>5</v>
      </c>
      <c r="P80" s="39" t="s">
        <v>472</v>
      </c>
      <c r="Q80" s="59" t="s">
        <v>470</v>
      </c>
    </row>
    <row r="81" spans="2:17" ht="22.5" x14ac:dyDescent="0.2">
      <c r="B81" s="34">
        <v>201</v>
      </c>
      <c r="C81" s="35" t="s">
        <v>467</v>
      </c>
      <c r="D81" s="36">
        <v>530</v>
      </c>
      <c r="E81" s="43" t="str">
        <f>IF(D81&lt;=0,"",VLOOKUP(D81,[1]FF!A:D,2,0))</f>
        <v>PARTICIPACIONES Ramo 28</v>
      </c>
      <c r="F81" s="37" t="s">
        <v>477</v>
      </c>
      <c r="G81" s="37" t="s">
        <v>458</v>
      </c>
      <c r="H81" s="38">
        <v>371001</v>
      </c>
      <c r="I81" s="44" t="str">
        <f>IF(H81&lt;=0,"",VLOOKUP(H81,COG!A:H,2,0))</f>
        <v>Pasajes aéreos</v>
      </c>
      <c r="J81" s="39">
        <v>4845</v>
      </c>
      <c r="K81" s="39">
        <v>4845</v>
      </c>
      <c r="L81" s="39">
        <v>4845</v>
      </c>
      <c r="M81" s="39">
        <v>4845</v>
      </c>
      <c r="N81" s="45">
        <f>SUM(Tabla1[[#This Row],[TRIMESTRE  I]:[TRIMESTRE IV]])</f>
        <v>19380</v>
      </c>
      <c r="O81" s="39" t="s">
        <v>6</v>
      </c>
      <c r="P81" s="39" t="s">
        <v>469</v>
      </c>
      <c r="Q81" s="59" t="s">
        <v>471</v>
      </c>
    </row>
    <row r="82" spans="2:17" ht="22.5" x14ac:dyDescent="0.2">
      <c r="B82" s="34">
        <v>201</v>
      </c>
      <c r="C82" s="35" t="s">
        <v>467</v>
      </c>
      <c r="D82" s="36">
        <v>530</v>
      </c>
      <c r="E82" s="43" t="str">
        <f>IF(D82&lt;=0,"",VLOOKUP(D82,[1]FF!A:D,2,0))</f>
        <v>PARTICIPACIONES Ramo 28</v>
      </c>
      <c r="F82" s="37" t="s">
        <v>477</v>
      </c>
      <c r="G82" s="37" t="s">
        <v>458</v>
      </c>
      <c r="H82" s="38">
        <v>375001</v>
      </c>
      <c r="I82" s="44" t="str">
        <f>IF(H82&lt;=0,"",VLOOKUP(H82,COG!A:H,2,0))</f>
        <v>Viáticos</v>
      </c>
      <c r="J82" s="39">
        <v>8812</v>
      </c>
      <c r="K82" s="39">
        <v>8166</v>
      </c>
      <c r="L82" s="39">
        <v>9135</v>
      </c>
      <c r="M82" s="39">
        <v>9133</v>
      </c>
      <c r="N82" s="45">
        <f>SUM(Tabla1[[#This Row],[TRIMESTRE  I]:[TRIMESTRE IV]])</f>
        <v>35246</v>
      </c>
      <c r="O82" s="39" t="s">
        <v>5</v>
      </c>
      <c r="P82" s="39" t="s">
        <v>472</v>
      </c>
      <c r="Q82" s="59" t="s">
        <v>470</v>
      </c>
    </row>
    <row r="83" spans="2:17" ht="22.5" x14ac:dyDescent="0.2">
      <c r="B83" s="34">
        <v>201</v>
      </c>
      <c r="C83" s="35" t="s">
        <v>467</v>
      </c>
      <c r="D83" s="36">
        <v>530</v>
      </c>
      <c r="E83" s="43" t="str">
        <f>IF(D83&lt;=0,"",VLOOKUP(D83,[1]FF!A:D,2,0))</f>
        <v>PARTICIPACIONES Ramo 28</v>
      </c>
      <c r="F83" s="37" t="s">
        <v>477</v>
      </c>
      <c r="G83" s="37" t="s">
        <v>458</v>
      </c>
      <c r="H83" s="38">
        <v>382002</v>
      </c>
      <c r="I83" s="44" t="str">
        <f>IF(H83&lt;=0,"",VLOOKUP(H83,COG!A:H,2,0))</f>
        <v>Gastos de recepción, conmemorativos y de orden social</v>
      </c>
      <c r="J83" s="39">
        <v>39752</v>
      </c>
      <c r="K83" s="39">
        <v>39753</v>
      </c>
      <c r="L83" s="39">
        <v>39753</v>
      </c>
      <c r="M83" s="39">
        <v>39753</v>
      </c>
      <c r="N83" s="45">
        <f>SUM(Tabla1[[#This Row],[TRIMESTRE  I]:[TRIMESTRE IV]])</f>
        <v>159011</v>
      </c>
      <c r="O83" s="39" t="s">
        <v>6</v>
      </c>
      <c r="P83" s="39" t="s">
        <v>469</v>
      </c>
      <c r="Q83" s="59" t="s">
        <v>471</v>
      </c>
    </row>
    <row r="84" spans="2:17" ht="22.5" x14ac:dyDescent="0.2">
      <c r="B84" s="34">
        <v>201</v>
      </c>
      <c r="C84" s="35" t="s">
        <v>467</v>
      </c>
      <c r="D84" s="36">
        <v>530</v>
      </c>
      <c r="E84" s="43" t="str">
        <f>IF(D84&lt;=0,"",VLOOKUP(D84,[1]FF!A:D,2,0))</f>
        <v>PARTICIPACIONES Ramo 28</v>
      </c>
      <c r="F84" s="37" t="s">
        <v>478</v>
      </c>
      <c r="G84" s="37" t="s">
        <v>461</v>
      </c>
      <c r="H84" s="38">
        <v>211001</v>
      </c>
      <c r="I84" s="44" t="str">
        <f>IF(H84&lt;=0,"",VLOOKUP(H84,COG!A:H,2,0))</f>
        <v>Material de oficina</v>
      </c>
      <c r="J84" s="39">
        <v>1212</v>
      </c>
      <c r="K84" s="39">
        <v>1212</v>
      </c>
      <c r="L84" s="39">
        <v>1212</v>
      </c>
      <c r="M84" s="39">
        <v>1212</v>
      </c>
      <c r="N84" s="45">
        <f>SUM(Tabla1[[#This Row],[TRIMESTRE  I]:[TRIMESTRE IV]])</f>
        <v>4848</v>
      </c>
      <c r="O84" s="39" t="s">
        <v>5</v>
      </c>
      <c r="P84" s="39" t="s">
        <v>472</v>
      </c>
      <c r="Q84" s="59" t="s">
        <v>470</v>
      </c>
    </row>
    <row r="85" spans="2:17" ht="22.5" x14ac:dyDescent="0.2">
      <c r="B85" s="34">
        <v>201</v>
      </c>
      <c r="C85" s="35" t="s">
        <v>467</v>
      </c>
      <c r="D85" s="36">
        <v>530</v>
      </c>
      <c r="E85" s="43" t="str">
        <f>IF(D85&lt;=0,"",VLOOKUP(D85,[1]FF!A:D,2,0))</f>
        <v>PARTICIPACIONES Ramo 28</v>
      </c>
      <c r="F85" s="37" t="s">
        <v>478</v>
      </c>
      <c r="G85" s="37" t="s">
        <v>461</v>
      </c>
      <c r="H85" s="38">
        <v>216001</v>
      </c>
      <c r="I85" s="44" t="str">
        <f>IF(H85&lt;=0,"",VLOOKUP(H85,COG!A:H,2,0))</f>
        <v>Material de limpieza</v>
      </c>
      <c r="J85" s="39">
        <v>2797</v>
      </c>
      <c r="K85" s="39">
        <v>2796</v>
      </c>
      <c r="L85" s="39">
        <v>2796</v>
      </c>
      <c r="M85" s="39">
        <v>2106</v>
      </c>
      <c r="N85" s="45">
        <f>SUM(Tabla1[[#This Row],[TRIMESTRE  I]:[TRIMESTRE IV]])</f>
        <v>10495</v>
      </c>
      <c r="O85" s="39" t="s">
        <v>5</v>
      </c>
      <c r="P85" s="39" t="s">
        <v>472</v>
      </c>
      <c r="Q85" s="59" t="s">
        <v>470</v>
      </c>
    </row>
    <row r="86" spans="2:17" ht="22.5" x14ac:dyDescent="0.2">
      <c r="B86" s="34">
        <v>201</v>
      </c>
      <c r="C86" s="35" t="s">
        <v>467</v>
      </c>
      <c r="D86" s="36">
        <v>530</v>
      </c>
      <c r="E86" s="43" t="str">
        <f>IF(D86&lt;=0,"",VLOOKUP(D86,[1]FF!A:D,2,0))</f>
        <v>PARTICIPACIONES Ramo 28</v>
      </c>
      <c r="F86" s="37" t="s">
        <v>478</v>
      </c>
      <c r="G86" s="37" t="s">
        <v>461</v>
      </c>
      <c r="H86" s="38">
        <v>261001</v>
      </c>
      <c r="I86" s="44" t="str">
        <f>IF(H86&lt;=0,"",VLOOKUP(H86,COG!A:H,2,0))</f>
        <v>Combustibles</v>
      </c>
      <c r="J86" s="39">
        <v>45258</v>
      </c>
      <c r="K86" s="39">
        <v>45258</v>
      </c>
      <c r="L86" s="39">
        <v>45258</v>
      </c>
      <c r="M86" s="39">
        <v>45258</v>
      </c>
      <c r="N86" s="45">
        <f>SUM(Tabla1[[#This Row],[TRIMESTRE  I]:[TRIMESTRE IV]])</f>
        <v>181032</v>
      </c>
      <c r="O86" s="39" t="s">
        <v>5</v>
      </c>
      <c r="P86" s="39" t="s">
        <v>472</v>
      </c>
      <c r="Q86" s="59" t="s">
        <v>470</v>
      </c>
    </row>
    <row r="87" spans="2:17" ht="22.5" x14ac:dyDescent="0.2">
      <c r="B87" s="34">
        <v>201</v>
      </c>
      <c r="C87" s="35" t="s">
        <v>467</v>
      </c>
      <c r="D87" s="36">
        <v>530</v>
      </c>
      <c r="E87" s="43" t="str">
        <f>IF(D87&lt;=0,"",VLOOKUP(D87,[1]FF!A:D,2,0))</f>
        <v>PARTICIPACIONES Ramo 28</v>
      </c>
      <c r="F87" s="37" t="s">
        <v>478</v>
      </c>
      <c r="G87" s="37" t="s">
        <v>461</v>
      </c>
      <c r="H87" s="38">
        <v>296001</v>
      </c>
      <c r="I87" s="44" t="str">
        <f>IF(H87&lt;=0,"",VLOOKUP(H87,COG!A:H,2,0))</f>
        <v>Herramientas, refacciones y accesorios</v>
      </c>
      <c r="J87" s="39">
        <v>1151</v>
      </c>
      <c r="K87" s="39">
        <v>1152</v>
      </c>
      <c r="L87" s="39">
        <v>1152</v>
      </c>
      <c r="M87" s="39">
        <v>1152</v>
      </c>
      <c r="N87" s="45">
        <f>SUM(Tabla1[[#This Row],[TRIMESTRE  I]:[TRIMESTRE IV]])</f>
        <v>4607</v>
      </c>
      <c r="O87" s="39" t="s">
        <v>6</v>
      </c>
      <c r="P87" s="39" t="s">
        <v>469</v>
      </c>
      <c r="Q87" s="59" t="s">
        <v>471</v>
      </c>
    </row>
    <row r="88" spans="2:17" x14ac:dyDescent="0.2">
      <c r="B88" s="34">
        <v>201</v>
      </c>
      <c r="C88" s="35" t="s">
        <v>467</v>
      </c>
      <c r="D88" s="36">
        <v>530</v>
      </c>
      <c r="E88" s="43" t="str">
        <f>IF(D88&lt;=0,"",VLOOKUP(D88,[1]FF!A:D,2,0))</f>
        <v>PARTICIPACIONES Ramo 28</v>
      </c>
      <c r="F88" s="37" t="s">
        <v>478</v>
      </c>
      <c r="G88" s="37" t="s">
        <v>458</v>
      </c>
      <c r="H88" s="38">
        <v>311001</v>
      </c>
      <c r="I88" s="44" t="str">
        <f>IF(H88&lt;=0,"",VLOOKUP(H88,COG!A:H,2,0))</f>
        <v>Servicio de energía eléctrica</v>
      </c>
      <c r="J88" s="39">
        <v>2500</v>
      </c>
      <c r="K88" s="39">
        <v>2502</v>
      </c>
      <c r="L88" s="39">
        <v>2502</v>
      </c>
      <c r="M88" s="39">
        <v>2496</v>
      </c>
      <c r="N88" s="45">
        <f>SUM(Tabla1[[#This Row],[TRIMESTRE  I]:[TRIMESTRE IV]])</f>
        <v>10000</v>
      </c>
      <c r="O88" s="39"/>
      <c r="P88" s="39"/>
      <c r="Q88" s="59"/>
    </row>
    <row r="89" spans="2:17" x14ac:dyDescent="0.2">
      <c r="B89" s="34">
        <v>201</v>
      </c>
      <c r="C89" s="35" t="s">
        <v>467</v>
      </c>
      <c r="D89" s="36">
        <v>530</v>
      </c>
      <c r="E89" s="43" t="str">
        <f>IF(D89&lt;=0,"",VLOOKUP(D89,[1]FF!A:D,2,0))</f>
        <v>PARTICIPACIONES Ramo 28</v>
      </c>
      <c r="F89" s="37" t="s">
        <v>478</v>
      </c>
      <c r="G89" s="37" t="s">
        <v>458</v>
      </c>
      <c r="H89" s="38">
        <v>314001</v>
      </c>
      <c r="I89" s="44" t="str">
        <f>IF(H89&lt;=0,"",VLOOKUP(H89,COG!A:H,2,0))</f>
        <v>Servicio telefónico</v>
      </c>
      <c r="J89" s="39">
        <v>1751</v>
      </c>
      <c r="K89" s="39">
        <v>1751</v>
      </c>
      <c r="L89" s="39">
        <v>1749</v>
      </c>
      <c r="M89" s="39">
        <v>1749</v>
      </c>
      <c r="N89" s="45">
        <f>SUM(Tabla1[[#This Row],[TRIMESTRE  I]:[TRIMESTRE IV]])</f>
        <v>7000</v>
      </c>
      <c r="O89" s="39"/>
      <c r="P89" s="39"/>
      <c r="Q89" s="59"/>
    </row>
    <row r="90" spans="2:17" ht="22.5" x14ac:dyDescent="0.2">
      <c r="B90" s="34">
        <v>201</v>
      </c>
      <c r="C90" s="35" t="s">
        <v>467</v>
      </c>
      <c r="D90" s="36">
        <v>530</v>
      </c>
      <c r="E90" s="43" t="str">
        <f>IF(D90&lt;=0,"",VLOOKUP(D90,[1]FF!A:D,2,0))</f>
        <v>PARTICIPACIONES Ramo 28</v>
      </c>
      <c r="F90" s="37" t="s">
        <v>478</v>
      </c>
      <c r="G90" s="37" t="s">
        <v>458</v>
      </c>
      <c r="H90" s="38">
        <v>323001</v>
      </c>
      <c r="I90" s="44" t="str">
        <f>IF(H90&lt;=0,"",VLOOKUP(H90,COG!A:H,2,0))</f>
        <v>Arrendamiento de maquinaria y equipo</v>
      </c>
      <c r="J90" s="39">
        <v>12327</v>
      </c>
      <c r="K90" s="39">
        <v>12327</v>
      </c>
      <c r="L90" s="39">
        <v>12327</v>
      </c>
      <c r="M90" s="39">
        <v>12327</v>
      </c>
      <c r="N90" s="45">
        <f>SUM(Tabla1[[#This Row],[TRIMESTRE  I]:[TRIMESTRE IV]])</f>
        <v>49308</v>
      </c>
      <c r="O90" s="39" t="s">
        <v>5</v>
      </c>
      <c r="P90" s="39" t="s">
        <v>472</v>
      </c>
      <c r="Q90" s="59" t="s">
        <v>470</v>
      </c>
    </row>
    <row r="91" spans="2:17" ht="27" x14ac:dyDescent="0.2">
      <c r="B91" s="34">
        <v>201</v>
      </c>
      <c r="C91" s="35" t="s">
        <v>467</v>
      </c>
      <c r="D91" s="36">
        <v>530</v>
      </c>
      <c r="E91" s="43" t="str">
        <f>IF(D91&lt;=0,"",VLOOKUP(D91,[1]FF!A:D,2,0))</f>
        <v>PARTICIPACIONES Ramo 28</v>
      </c>
      <c r="F91" s="37" t="s">
        <v>478</v>
      </c>
      <c r="G91" s="37" t="s">
        <v>458</v>
      </c>
      <c r="H91" s="38">
        <v>355001</v>
      </c>
      <c r="I91" s="44" t="str">
        <f>IF(H91&lt;=0,"",VLOOKUP(H91,COG!A:H,2,0))</f>
        <v>Mantto. y conservación de vehículos terrestres, aéreos, marítimos, lacustres y fluviales</v>
      </c>
      <c r="J91" s="39">
        <v>2850</v>
      </c>
      <c r="K91" s="39">
        <v>2850</v>
      </c>
      <c r="L91" s="39">
        <v>2850</v>
      </c>
      <c r="M91" s="39">
        <v>2846</v>
      </c>
      <c r="N91" s="45">
        <f>SUM(Tabla1[[#This Row],[TRIMESTRE  I]:[TRIMESTRE IV]])</f>
        <v>11396</v>
      </c>
      <c r="O91" s="39" t="s">
        <v>6</v>
      </c>
      <c r="P91" s="39" t="s">
        <v>469</v>
      </c>
      <c r="Q91" s="59" t="s">
        <v>471</v>
      </c>
    </row>
    <row r="92" spans="2:17" ht="22.5" x14ac:dyDescent="0.2">
      <c r="B92" s="34">
        <v>201</v>
      </c>
      <c r="C92" s="35" t="s">
        <v>467</v>
      </c>
      <c r="D92" s="36">
        <v>530</v>
      </c>
      <c r="E92" s="43" t="str">
        <f>IF(D92&lt;=0,"",VLOOKUP(D92,[1]FF!A:D,2,0))</f>
        <v>PARTICIPACIONES Ramo 28</v>
      </c>
      <c r="F92" s="37" t="s">
        <v>478</v>
      </c>
      <c r="G92" s="37" t="s">
        <v>458</v>
      </c>
      <c r="H92" s="38">
        <v>371001</v>
      </c>
      <c r="I92" s="44" t="str">
        <f>IF(H92&lt;=0,"",VLOOKUP(H92,COG!A:H,2,0))</f>
        <v>Pasajes aéreos</v>
      </c>
      <c r="J92" s="39">
        <v>4845</v>
      </c>
      <c r="K92" s="39">
        <v>4845</v>
      </c>
      <c r="L92" s="39">
        <v>4845</v>
      </c>
      <c r="M92" s="39">
        <v>4845</v>
      </c>
      <c r="N92" s="45">
        <f>SUM(Tabla1[[#This Row],[TRIMESTRE  I]:[TRIMESTRE IV]])</f>
        <v>19380</v>
      </c>
      <c r="O92" s="39" t="s">
        <v>5</v>
      </c>
      <c r="P92" s="39" t="s">
        <v>472</v>
      </c>
      <c r="Q92" s="59" t="s">
        <v>470</v>
      </c>
    </row>
    <row r="93" spans="2:17" ht="22.5" x14ac:dyDescent="0.2">
      <c r="B93" s="34">
        <v>201</v>
      </c>
      <c r="C93" s="35" t="s">
        <v>467</v>
      </c>
      <c r="D93" s="36">
        <v>530</v>
      </c>
      <c r="E93" s="43" t="str">
        <f>IF(D93&lt;=0,"",VLOOKUP(D93,[1]FF!A:D,2,0))</f>
        <v>PARTICIPACIONES Ramo 28</v>
      </c>
      <c r="F93" s="37" t="s">
        <v>478</v>
      </c>
      <c r="G93" s="37" t="s">
        <v>458</v>
      </c>
      <c r="H93" s="38">
        <v>375001</v>
      </c>
      <c r="I93" s="44" t="str">
        <f>IF(H93&lt;=0,"",VLOOKUP(H93,COG!A:H,2,0))</f>
        <v>Viáticos</v>
      </c>
      <c r="J93" s="39">
        <v>14844</v>
      </c>
      <c r="K93" s="39">
        <v>14844</v>
      </c>
      <c r="L93" s="39">
        <v>14844</v>
      </c>
      <c r="M93" s="39">
        <v>14844</v>
      </c>
      <c r="N93" s="45">
        <f>SUM(Tabla1[[#This Row],[TRIMESTRE  I]:[TRIMESTRE IV]])</f>
        <v>59376</v>
      </c>
      <c r="O93" s="39" t="s">
        <v>6</v>
      </c>
      <c r="P93" s="39" t="s">
        <v>469</v>
      </c>
      <c r="Q93" s="59" t="s">
        <v>471</v>
      </c>
    </row>
    <row r="94" spans="2:17" ht="22.5" x14ac:dyDescent="0.2">
      <c r="B94" s="34">
        <v>201</v>
      </c>
      <c r="C94" s="35" t="s">
        <v>467</v>
      </c>
      <c r="D94" s="36">
        <v>530</v>
      </c>
      <c r="E94" s="43" t="str">
        <f>IF(D94&lt;=0,"",VLOOKUP(D94,[1]FF!A:D,2,0))</f>
        <v>PARTICIPACIONES Ramo 28</v>
      </c>
      <c r="F94" s="37" t="s">
        <v>478</v>
      </c>
      <c r="G94" s="37" t="s">
        <v>458</v>
      </c>
      <c r="H94" s="38">
        <v>382002</v>
      </c>
      <c r="I94" s="44" t="str">
        <f>IF(H94&lt;=0,"",VLOOKUP(H94,COG!A:H,2,0))</f>
        <v>Gastos de recepción, conmemorativos y de orden social</v>
      </c>
      <c r="J94" s="39">
        <v>3055</v>
      </c>
      <c r="K94" s="39">
        <v>3053</v>
      </c>
      <c r="L94" s="39">
        <v>3030</v>
      </c>
      <c r="M94" s="39">
        <v>0</v>
      </c>
      <c r="N94" s="45">
        <f>SUM(Tabla1[[#This Row],[TRIMESTRE  I]:[TRIMESTRE IV]])</f>
        <v>9138</v>
      </c>
      <c r="O94" s="39" t="s">
        <v>6</v>
      </c>
      <c r="P94" s="39" t="s">
        <v>469</v>
      </c>
      <c r="Q94" s="59" t="s">
        <v>471</v>
      </c>
    </row>
    <row r="95" spans="2:17" ht="22.5" x14ac:dyDescent="0.2">
      <c r="B95" s="34">
        <v>201</v>
      </c>
      <c r="C95" s="35" t="s">
        <v>467</v>
      </c>
      <c r="D95" s="36">
        <v>530</v>
      </c>
      <c r="E95" s="43" t="str">
        <f>IF(D95&lt;=0,"",VLOOKUP(D95,[1]FF!A:D,2,0))</f>
        <v>PARTICIPACIONES Ramo 28</v>
      </c>
      <c r="F95" s="37" t="s">
        <v>479</v>
      </c>
      <c r="G95" s="37" t="s">
        <v>461</v>
      </c>
      <c r="H95" s="38">
        <v>211001</v>
      </c>
      <c r="I95" s="44" t="str">
        <f>IF(H95&lt;=0,"",VLOOKUP(H95,COG!A:H,2,0))</f>
        <v>Material de oficina</v>
      </c>
      <c r="J95" s="39">
        <v>3852</v>
      </c>
      <c r="K95" s="39">
        <v>3852</v>
      </c>
      <c r="L95" s="39">
        <v>3852</v>
      </c>
      <c r="M95" s="39">
        <v>3852</v>
      </c>
      <c r="N95" s="45">
        <f>SUM(Tabla1[[#This Row],[TRIMESTRE  I]:[TRIMESTRE IV]])</f>
        <v>15408</v>
      </c>
      <c r="O95" s="39" t="s">
        <v>5</v>
      </c>
      <c r="P95" s="39" t="s">
        <v>472</v>
      </c>
      <c r="Q95" s="59" t="s">
        <v>470</v>
      </c>
    </row>
    <row r="96" spans="2:17" ht="22.5" x14ac:dyDescent="0.2">
      <c r="B96" s="34">
        <v>201</v>
      </c>
      <c r="C96" s="35" t="s">
        <v>467</v>
      </c>
      <c r="D96" s="36">
        <v>530</v>
      </c>
      <c r="E96" s="43" t="str">
        <f>IF(D96&lt;=0,"",VLOOKUP(D96,[1]FF!A:D,2,0))</f>
        <v>PARTICIPACIONES Ramo 28</v>
      </c>
      <c r="F96" s="37" t="s">
        <v>479</v>
      </c>
      <c r="G96" s="37" t="s">
        <v>461</v>
      </c>
      <c r="H96" s="38">
        <v>216001</v>
      </c>
      <c r="I96" s="44" t="str">
        <f>IF(H96&lt;=0,"",VLOOKUP(H96,COG!A:H,2,0))</f>
        <v>Material de limpieza</v>
      </c>
      <c r="J96" s="39">
        <v>2377</v>
      </c>
      <c r="K96" s="39">
        <v>2376</v>
      </c>
      <c r="L96" s="39">
        <v>2376</v>
      </c>
      <c r="M96" s="39">
        <v>2376</v>
      </c>
      <c r="N96" s="45">
        <f>SUM(Tabla1[[#This Row],[TRIMESTRE  I]:[TRIMESTRE IV]])</f>
        <v>9505</v>
      </c>
      <c r="O96" s="39" t="s">
        <v>5</v>
      </c>
      <c r="P96" s="39" t="s">
        <v>472</v>
      </c>
      <c r="Q96" s="59" t="s">
        <v>470</v>
      </c>
    </row>
    <row r="97" spans="2:17" ht="22.5" x14ac:dyDescent="0.2">
      <c r="B97" s="34">
        <v>201</v>
      </c>
      <c r="C97" s="35" t="s">
        <v>467</v>
      </c>
      <c r="D97" s="36">
        <v>530</v>
      </c>
      <c r="E97" s="43" t="str">
        <f>IF(D97&lt;=0,"",VLOOKUP(D97,[1]FF!A:D,2,0))</f>
        <v>PARTICIPACIONES Ramo 28</v>
      </c>
      <c r="F97" s="37" t="s">
        <v>479</v>
      </c>
      <c r="G97" s="37" t="s">
        <v>461</v>
      </c>
      <c r="H97" s="38">
        <v>221001</v>
      </c>
      <c r="I97" s="44" t="str">
        <f>IF(H97&lt;=0,"",VLOOKUP(H97,COG!A:H,2,0))</f>
        <v>Alimentación de personas</v>
      </c>
      <c r="J97" s="39">
        <v>3525</v>
      </c>
      <c r="K97" s="39">
        <v>3525</v>
      </c>
      <c r="L97" s="39">
        <v>3525</v>
      </c>
      <c r="M97" s="39">
        <v>3525</v>
      </c>
      <c r="N97" s="45">
        <f>SUM(Tabla1[[#This Row],[TRIMESTRE  I]:[TRIMESTRE IV]])</f>
        <v>14100</v>
      </c>
      <c r="O97" s="39" t="s">
        <v>6</v>
      </c>
      <c r="P97" s="39" t="s">
        <v>469</v>
      </c>
      <c r="Q97" s="59" t="s">
        <v>471</v>
      </c>
    </row>
    <row r="98" spans="2:17" ht="22.5" x14ac:dyDescent="0.2">
      <c r="B98" s="34">
        <v>201</v>
      </c>
      <c r="C98" s="35" t="s">
        <v>467</v>
      </c>
      <c r="D98" s="36">
        <v>530</v>
      </c>
      <c r="E98" s="43" t="str">
        <f>IF(D98&lt;=0,"",VLOOKUP(D98,[1]FF!A:D,2,0))</f>
        <v>PARTICIPACIONES Ramo 28</v>
      </c>
      <c r="F98" s="37" t="s">
        <v>479</v>
      </c>
      <c r="G98" s="37" t="s">
        <v>461</v>
      </c>
      <c r="H98" s="38">
        <v>261001</v>
      </c>
      <c r="I98" s="44" t="str">
        <f>IF(H98&lt;=0,"",VLOOKUP(H98,COG!A:H,2,0))</f>
        <v>Combustibles</v>
      </c>
      <c r="J98" s="39">
        <v>23424</v>
      </c>
      <c r="K98" s="39">
        <v>23424</v>
      </c>
      <c r="L98" s="39">
        <v>22014</v>
      </c>
      <c r="M98" s="39">
        <v>22014</v>
      </c>
      <c r="N98" s="45">
        <f>SUM(Tabla1[[#This Row],[TRIMESTRE  I]:[TRIMESTRE IV]])</f>
        <v>90876</v>
      </c>
      <c r="O98" s="39" t="s">
        <v>5</v>
      </c>
      <c r="P98" s="39" t="s">
        <v>472</v>
      </c>
      <c r="Q98" s="59" t="s">
        <v>470</v>
      </c>
    </row>
    <row r="99" spans="2:17" ht="22.5" x14ac:dyDescent="0.2">
      <c r="B99" s="34">
        <v>201</v>
      </c>
      <c r="C99" s="35" t="s">
        <v>467</v>
      </c>
      <c r="D99" s="36">
        <v>530</v>
      </c>
      <c r="E99" s="43" t="str">
        <f>IF(D99&lt;=0,"",VLOOKUP(D99,[1]FF!A:D,2,0))</f>
        <v>PARTICIPACIONES Ramo 28</v>
      </c>
      <c r="F99" s="37" t="s">
        <v>479</v>
      </c>
      <c r="G99" s="37" t="s">
        <v>461</v>
      </c>
      <c r="H99" s="38">
        <v>271001</v>
      </c>
      <c r="I99" s="44" t="str">
        <f>IF(H99&lt;=0,"",VLOOKUP(H99,COG!A:H,2,0))</f>
        <v>Ropa, vestuario y equipo</v>
      </c>
      <c r="J99" s="39">
        <v>4135</v>
      </c>
      <c r="K99" s="39">
        <v>4134</v>
      </c>
      <c r="L99" s="39">
        <v>4134</v>
      </c>
      <c r="M99" s="39">
        <v>4134</v>
      </c>
      <c r="N99" s="45">
        <f>SUM(Tabla1[[#This Row],[TRIMESTRE  I]:[TRIMESTRE IV]])</f>
        <v>16537</v>
      </c>
      <c r="O99" s="39" t="s">
        <v>5</v>
      </c>
      <c r="P99" s="39" t="s">
        <v>472</v>
      </c>
      <c r="Q99" s="59" t="s">
        <v>470</v>
      </c>
    </row>
    <row r="100" spans="2:17" ht="22.5" x14ac:dyDescent="0.2">
      <c r="B100" s="34">
        <v>201</v>
      </c>
      <c r="C100" s="35" t="s">
        <v>467</v>
      </c>
      <c r="D100" s="36">
        <v>530</v>
      </c>
      <c r="E100" s="43" t="str">
        <f>IF(D100&lt;=0,"",VLOOKUP(D100,[1]FF!A:D,2,0))</f>
        <v>PARTICIPACIONES Ramo 28</v>
      </c>
      <c r="F100" s="37" t="s">
        <v>479</v>
      </c>
      <c r="G100" s="37" t="s">
        <v>461</v>
      </c>
      <c r="H100" s="38">
        <v>296001</v>
      </c>
      <c r="I100" s="44" t="str">
        <f>IF(H100&lt;=0,"",VLOOKUP(H100,COG!A:H,2,0))</f>
        <v>Herramientas, refacciones y accesorios</v>
      </c>
      <c r="J100" s="39">
        <v>2616</v>
      </c>
      <c r="K100" s="39">
        <v>2616</v>
      </c>
      <c r="L100" s="39">
        <v>2616</v>
      </c>
      <c r="M100" s="39">
        <v>2616</v>
      </c>
      <c r="N100" s="45">
        <f>SUM(Tabla1[[#This Row],[TRIMESTRE  I]:[TRIMESTRE IV]])</f>
        <v>10464</v>
      </c>
      <c r="O100" s="39" t="s">
        <v>6</v>
      </c>
      <c r="P100" s="39" t="s">
        <v>469</v>
      </c>
      <c r="Q100" s="59" t="s">
        <v>471</v>
      </c>
    </row>
    <row r="101" spans="2:17" ht="27" x14ac:dyDescent="0.2">
      <c r="B101" s="34">
        <v>201</v>
      </c>
      <c r="C101" s="35" t="s">
        <v>467</v>
      </c>
      <c r="D101" s="36">
        <v>530</v>
      </c>
      <c r="E101" s="43" t="str">
        <f>IF(D101&lt;=0,"",VLOOKUP(D101,[1]FF!A:D,2,0))</f>
        <v>PARTICIPACIONES Ramo 28</v>
      </c>
      <c r="F101" s="37" t="s">
        <v>479</v>
      </c>
      <c r="G101" s="37" t="s">
        <v>458</v>
      </c>
      <c r="H101" s="38">
        <v>355001</v>
      </c>
      <c r="I101" s="44" t="str">
        <f>IF(H101&lt;=0,"",VLOOKUP(H101,COG!A:H,2,0))</f>
        <v>Mantto. y conservación de vehículos terrestres, aéreos, marítimos, lacustres y fluviales</v>
      </c>
      <c r="J101" s="39">
        <v>2565</v>
      </c>
      <c r="K101" s="39">
        <v>2565</v>
      </c>
      <c r="L101" s="39">
        <v>2565</v>
      </c>
      <c r="M101" s="39">
        <v>2565</v>
      </c>
      <c r="N101" s="45">
        <f>SUM(Tabla1[[#This Row],[TRIMESTRE  I]:[TRIMESTRE IV]])</f>
        <v>10260</v>
      </c>
      <c r="O101" s="39" t="s">
        <v>6</v>
      </c>
      <c r="P101" s="39" t="s">
        <v>469</v>
      </c>
      <c r="Q101" s="59" t="s">
        <v>471</v>
      </c>
    </row>
    <row r="102" spans="2:17" ht="22.5" x14ac:dyDescent="0.2">
      <c r="B102" s="34">
        <v>201</v>
      </c>
      <c r="C102" s="35" t="s">
        <v>467</v>
      </c>
      <c r="D102" s="36">
        <v>530</v>
      </c>
      <c r="E102" s="43" t="str">
        <f>IF(D102&lt;=0,"",VLOOKUP(D102,[1]FF!A:D,2,0))</f>
        <v>PARTICIPACIONES Ramo 28</v>
      </c>
      <c r="F102" s="37" t="s">
        <v>479</v>
      </c>
      <c r="G102" s="37" t="s">
        <v>458</v>
      </c>
      <c r="H102" s="38">
        <v>382002</v>
      </c>
      <c r="I102" s="44" t="str">
        <f>IF(H102&lt;=0,"",VLOOKUP(H102,COG!A:H,2,0))</f>
        <v>Gastos de recepción, conmemorativos y de orden social</v>
      </c>
      <c r="J102" s="39">
        <v>74034</v>
      </c>
      <c r="K102" s="39">
        <v>74034</v>
      </c>
      <c r="L102" s="39">
        <v>74034</v>
      </c>
      <c r="M102" s="39">
        <v>74037</v>
      </c>
      <c r="N102" s="45">
        <f>SUM(Tabla1[[#This Row],[TRIMESTRE  I]:[TRIMESTRE IV]])</f>
        <v>296139</v>
      </c>
      <c r="O102" s="39" t="s">
        <v>6</v>
      </c>
      <c r="P102" s="39" t="s">
        <v>469</v>
      </c>
      <c r="Q102" s="59" t="s">
        <v>471</v>
      </c>
    </row>
    <row r="103" spans="2:17" ht="22.5" x14ac:dyDescent="0.2">
      <c r="B103" s="34">
        <v>201</v>
      </c>
      <c r="C103" s="35" t="s">
        <v>467</v>
      </c>
      <c r="D103" s="36">
        <v>530</v>
      </c>
      <c r="E103" s="43" t="str">
        <f>IF(D103&lt;=0,"",VLOOKUP(D103,[1]FF!A:D,2,0))</f>
        <v>PARTICIPACIONES Ramo 28</v>
      </c>
      <c r="F103" s="37" t="s">
        <v>480</v>
      </c>
      <c r="G103" s="37" t="s">
        <v>461</v>
      </c>
      <c r="H103" s="38">
        <v>211001</v>
      </c>
      <c r="I103" s="44" t="str">
        <f>IF(H103&lt;=0,"",VLOOKUP(H103,COG!A:H,2,0))</f>
        <v>Material de oficina</v>
      </c>
      <c r="J103" s="39">
        <v>4290</v>
      </c>
      <c r="K103" s="39">
        <v>4290</v>
      </c>
      <c r="L103" s="39">
        <v>4290</v>
      </c>
      <c r="M103" s="39">
        <v>4290</v>
      </c>
      <c r="N103" s="45">
        <f>SUM(Tabla1[[#This Row],[TRIMESTRE  I]:[TRIMESTRE IV]])</f>
        <v>17160</v>
      </c>
      <c r="O103" s="39" t="s">
        <v>5</v>
      </c>
      <c r="P103" s="39" t="s">
        <v>472</v>
      </c>
      <c r="Q103" s="59" t="s">
        <v>470</v>
      </c>
    </row>
    <row r="104" spans="2:17" ht="22.5" x14ac:dyDescent="0.2">
      <c r="B104" s="34">
        <v>201</v>
      </c>
      <c r="C104" s="35" t="s">
        <v>467</v>
      </c>
      <c r="D104" s="36">
        <v>530</v>
      </c>
      <c r="E104" s="43" t="str">
        <f>IF(D104&lt;=0,"",VLOOKUP(D104,[1]FF!A:D,2,0))</f>
        <v>PARTICIPACIONES Ramo 28</v>
      </c>
      <c r="F104" s="37" t="s">
        <v>480</v>
      </c>
      <c r="G104" s="37" t="s">
        <v>461</v>
      </c>
      <c r="H104" s="38">
        <v>212001</v>
      </c>
      <c r="I104" s="44" t="str">
        <f>IF(H104&lt;=0,"",VLOOKUP(H104,COG!A:H,2,0))</f>
        <v>Material y útiles de impresión</v>
      </c>
      <c r="J104" s="39">
        <v>3825</v>
      </c>
      <c r="K104" s="39">
        <v>3825</v>
      </c>
      <c r="L104" s="39">
        <v>3825</v>
      </c>
      <c r="M104" s="39">
        <v>3825</v>
      </c>
      <c r="N104" s="45">
        <f>SUM(Tabla1[[#This Row],[TRIMESTRE  I]:[TRIMESTRE IV]])</f>
        <v>15300</v>
      </c>
      <c r="O104" s="39" t="s">
        <v>6</v>
      </c>
      <c r="P104" s="39" t="s">
        <v>472</v>
      </c>
      <c r="Q104" s="59" t="s">
        <v>471</v>
      </c>
    </row>
    <row r="105" spans="2:17" ht="27" x14ac:dyDescent="0.2">
      <c r="B105" s="34">
        <v>201</v>
      </c>
      <c r="C105" s="35" t="s">
        <v>467</v>
      </c>
      <c r="D105" s="36">
        <v>530</v>
      </c>
      <c r="E105" s="43" t="str">
        <f>IF(D105&lt;=0,"",VLOOKUP(D105,[1]FF!A:D,2,0))</f>
        <v>PARTICIPACIONES Ramo 28</v>
      </c>
      <c r="F105" s="37" t="s">
        <v>480</v>
      </c>
      <c r="G105" s="37" t="s">
        <v>461</v>
      </c>
      <c r="H105" s="38">
        <v>214001</v>
      </c>
      <c r="I105" s="44" t="str">
        <f>IF(H105&lt;=0,"",VLOOKUP(H105,COG!A:H,2,0))</f>
        <v>Materiales, útiles y equipos menores de tecnologías de la información y comunicaciones</v>
      </c>
      <c r="J105" s="39">
        <v>6375</v>
      </c>
      <c r="K105" s="39">
        <v>6375</v>
      </c>
      <c r="L105" s="39">
        <v>6375</v>
      </c>
      <c r="M105" s="39">
        <v>6375</v>
      </c>
      <c r="N105" s="45">
        <f>SUM(Tabla1[[#This Row],[TRIMESTRE  I]:[TRIMESTRE IV]])</f>
        <v>25500</v>
      </c>
      <c r="O105" s="39" t="s">
        <v>6</v>
      </c>
      <c r="P105" s="39" t="s">
        <v>469</v>
      </c>
      <c r="Q105" s="59" t="s">
        <v>471</v>
      </c>
    </row>
    <row r="106" spans="2:17" ht="22.5" x14ac:dyDescent="0.2">
      <c r="B106" s="34">
        <v>201</v>
      </c>
      <c r="C106" s="35" t="s">
        <v>467</v>
      </c>
      <c r="D106" s="36">
        <v>530</v>
      </c>
      <c r="E106" s="43" t="str">
        <f>IF(D106&lt;=0,"",VLOOKUP(D106,[1]FF!A:D,2,0))</f>
        <v>PARTICIPACIONES Ramo 28</v>
      </c>
      <c r="F106" s="37" t="s">
        <v>480</v>
      </c>
      <c r="G106" s="37" t="s">
        <v>461</v>
      </c>
      <c r="H106" s="38">
        <v>216001</v>
      </c>
      <c r="I106" s="44" t="str">
        <f>IF(H106&lt;=0,"",VLOOKUP(H106,COG!A:H,2,0))</f>
        <v>Material de limpieza</v>
      </c>
      <c r="J106" s="39">
        <v>1500</v>
      </c>
      <c r="K106" s="39">
        <v>1500</v>
      </c>
      <c r="L106" s="39">
        <v>1500</v>
      </c>
      <c r="M106" s="39">
        <v>1500</v>
      </c>
      <c r="N106" s="45">
        <f>SUM(Tabla1[[#This Row],[TRIMESTRE  I]:[TRIMESTRE IV]])</f>
        <v>6000</v>
      </c>
      <c r="O106" s="39" t="s">
        <v>5</v>
      </c>
      <c r="P106" s="39" t="s">
        <v>472</v>
      </c>
      <c r="Q106" s="59" t="s">
        <v>470</v>
      </c>
    </row>
    <row r="107" spans="2:17" ht="22.5" x14ac:dyDescent="0.2">
      <c r="B107" s="34">
        <v>201</v>
      </c>
      <c r="C107" s="35" t="s">
        <v>467</v>
      </c>
      <c r="D107" s="36">
        <v>530</v>
      </c>
      <c r="E107" s="43" t="str">
        <f>IF(D107&lt;=0,"",VLOOKUP(D107,[1]FF!A:D,2,0))</f>
        <v>PARTICIPACIONES Ramo 28</v>
      </c>
      <c r="F107" s="37" t="s">
        <v>480</v>
      </c>
      <c r="G107" s="37" t="s">
        <v>461</v>
      </c>
      <c r="H107" s="38">
        <v>221001</v>
      </c>
      <c r="I107" s="44" t="str">
        <f>IF(H107&lt;=0,"",VLOOKUP(H107,COG!A:H,2,0))</f>
        <v>Alimentación de personas</v>
      </c>
      <c r="J107" s="39">
        <v>0</v>
      </c>
      <c r="K107" s="39">
        <v>0</v>
      </c>
      <c r="L107" s="39">
        <v>6000</v>
      </c>
      <c r="M107" s="39">
        <v>5783</v>
      </c>
      <c r="N107" s="45">
        <f>SUM(Tabla1[[#This Row],[TRIMESTRE  I]:[TRIMESTRE IV]])</f>
        <v>11783</v>
      </c>
      <c r="O107" s="39" t="s">
        <v>6</v>
      </c>
      <c r="P107" s="39" t="s">
        <v>469</v>
      </c>
      <c r="Q107" s="59" t="s">
        <v>471</v>
      </c>
    </row>
    <row r="108" spans="2:17" ht="22.5" x14ac:dyDescent="0.2">
      <c r="B108" s="34">
        <v>201</v>
      </c>
      <c r="C108" s="35" t="s">
        <v>467</v>
      </c>
      <c r="D108" s="36">
        <v>530</v>
      </c>
      <c r="E108" s="43" t="str">
        <f>IF(D108&lt;=0,"",VLOOKUP(D108,[1]FF!A:D,2,0))</f>
        <v>PARTICIPACIONES Ramo 28</v>
      </c>
      <c r="F108" s="37" t="s">
        <v>480</v>
      </c>
      <c r="G108" s="37" t="s">
        <v>461</v>
      </c>
      <c r="H108" s="38">
        <v>261001</v>
      </c>
      <c r="I108" s="44" t="str">
        <f>IF(H108&lt;=0,"",VLOOKUP(H108,COG!A:H,2,0))</f>
        <v>Combustibles</v>
      </c>
      <c r="J108" s="39">
        <v>11262</v>
      </c>
      <c r="K108" s="39">
        <v>11260</v>
      </c>
      <c r="L108" s="39">
        <v>11259</v>
      </c>
      <c r="M108" s="39">
        <v>11261</v>
      </c>
      <c r="N108" s="45">
        <f>SUM(Tabla1[[#This Row],[TRIMESTRE  I]:[TRIMESTRE IV]])</f>
        <v>45042</v>
      </c>
      <c r="O108" s="39" t="s">
        <v>5</v>
      </c>
      <c r="P108" s="39" t="s">
        <v>472</v>
      </c>
      <c r="Q108" s="59" t="s">
        <v>470</v>
      </c>
    </row>
    <row r="109" spans="2:17" ht="22.5" x14ac:dyDescent="0.2">
      <c r="B109" s="34">
        <v>201</v>
      </c>
      <c r="C109" s="35" t="s">
        <v>467</v>
      </c>
      <c r="D109" s="36">
        <v>530</v>
      </c>
      <c r="E109" s="43" t="str">
        <f>IF(D109&lt;=0,"",VLOOKUP(D109,[1]FF!A:D,2,0))</f>
        <v>PARTICIPACIONES Ramo 28</v>
      </c>
      <c r="F109" s="37" t="s">
        <v>480</v>
      </c>
      <c r="G109" s="37" t="s">
        <v>461</v>
      </c>
      <c r="H109" s="38">
        <v>271001</v>
      </c>
      <c r="I109" s="44" t="str">
        <f>IF(H109&lt;=0,"",VLOOKUP(H109,COG!A:H,2,0))</f>
        <v>Ropa, vestuario y equipo</v>
      </c>
      <c r="J109" s="39">
        <v>0</v>
      </c>
      <c r="K109" s="39">
        <v>12000</v>
      </c>
      <c r="L109" s="39">
        <v>0</v>
      </c>
      <c r="M109" s="39">
        <v>0</v>
      </c>
      <c r="N109" s="45">
        <f>SUM(Tabla1[[#This Row],[TRIMESTRE  I]:[TRIMESTRE IV]])</f>
        <v>12000</v>
      </c>
      <c r="O109" s="39" t="s">
        <v>5</v>
      </c>
      <c r="P109" s="39" t="s">
        <v>472</v>
      </c>
      <c r="Q109" s="59" t="s">
        <v>470</v>
      </c>
    </row>
    <row r="110" spans="2:17" ht="22.5" x14ac:dyDescent="0.2">
      <c r="B110" s="34">
        <v>201</v>
      </c>
      <c r="C110" s="35" t="s">
        <v>467</v>
      </c>
      <c r="D110" s="36">
        <v>530</v>
      </c>
      <c r="E110" s="43" t="str">
        <f>IF(D110&lt;=0,"",VLOOKUP(D110,[1]FF!A:D,2,0))</f>
        <v>PARTICIPACIONES Ramo 28</v>
      </c>
      <c r="F110" s="37" t="s">
        <v>480</v>
      </c>
      <c r="G110" s="37" t="s">
        <v>458</v>
      </c>
      <c r="H110" s="38">
        <v>322001</v>
      </c>
      <c r="I110" s="44" t="str">
        <f>IF(H110&lt;=0,"",VLOOKUP(H110,COG!A:H,2,0))</f>
        <v>Arrendamiento de edificios</v>
      </c>
      <c r="J110" s="39">
        <v>37236</v>
      </c>
      <c r="K110" s="39">
        <v>37236</v>
      </c>
      <c r="L110" s="39">
        <v>37236</v>
      </c>
      <c r="M110" s="39">
        <v>37236</v>
      </c>
      <c r="N110" s="45">
        <f>SUM(Tabla1[[#This Row],[TRIMESTRE  I]:[TRIMESTRE IV]])</f>
        <v>148944</v>
      </c>
      <c r="O110" s="39" t="s">
        <v>6</v>
      </c>
      <c r="P110" s="39" t="s">
        <v>469</v>
      </c>
      <c r="Q110" s="59" t="s">
        <v>471</v>
      </c>
    </row>
    <row r="111" spans="2:17" ht="22.5" x14ac:dyDescent="0.2">
      <c r="B111" s="34">
        <v>201</v>
      </c>
      <c r="C111" s="35" t="s">
        <v>467</v>
      </c>
      <c r="D111" s="36">
        <v>530</v>
      </c>
      <c r="E111" s="43" t="str">
        <f>IF(D111&lt;=0,"",VLOOKUP(D111,[1]FF!A:D,2,0))</f>
        <v>PARTICIPACIONES Ramo 28</v>
      </c>
      <c r="F111" s="37" t="s">
        <v>480</v>
      </c>
      <c r="G111" s="37" t="s">
        <v>458</v>
      </c>
      <c r="H111" s="38">
        <v>323001</v>
      </c>
      <c r="I111" s="44" t="str">
        <f>IF(H111&lt;=0,"",VLOOKUP(H111,COG!A:H,2,0))</f>
        <v>Arrendamiento de maquinaria y equipo</v>
      </c>
      <c r="J111" s="39">
        <v>3000</v>
      </c>
      <c r="K111" s="39">
        <v>3000</v>
      </c>
      <c r="L111" s="39">
        <v>3000</v>
      </c>
      <c r="M111" s="39">
        <v>3000</v>
      </c>
      <c r="N111" s="45">
        <f>SUM(Tabla1[[#This Row],[TRIMESTRE  I]:[TRIMESTRE IV]])</f>
        <v>12000</v>
      </c>
      <c r="O111" s="39" t="s">
        <v>5</v>
      </c>
      <c r="P111" s="39" t="s">
        <v>472</v>
      </c>
      <c r="Q111" s="59" t="s">
        <v>470</v>
      </c>
    </row>
    <row r="112" spans="2:17" ht="27" x14ac:dyDescent="0.2">
      <c r="B112" s="34">
        <v>201</v>
      </c>
      <c r="C112" s="35" t="s">
        <v>467</v>
      </c>
      <c r="D112" s="36">
        <v>530</v>
      </c>
      <c r="E112" s="43" t="str">
        <f>IF(D112&lt;=0,"",VLOOKUP(D112,[1]FF!A:D,2,0))</f>
        <v>PARTICIPACIONES Ramo 28</v>
      </c>
      <c r="F112" s="37" t="s">
        <v>480</v>
      </c>
      <c r="G112" s="37" t="s">
        <v>458</v>
      </c>
      <c r="H112" s="38">
        <v>355001</v>
      </c>
      <c r="I112" s="44" t="str">
        <f>IF(H112&lt;=0,"",VLOOKUP(H112,COG!A:H,2,0))</f>
        <v>Mantto. y conservación de vehículos terrestres, aéreos, marítimos, lacustres y fluviales</v>
      </c>
      <c r="J112" s="39">
        <v>4992</v>
      </c>
      <c r="K112" s="39">
        <v>5002</v>
      </c>
      <c r="L112" s="39">
        <v>5010</v>
      </c>
      <c r="M112" s="39">
        <v>4996</v>
      </c>
      <c r="N112" s="45">
        <f>SUM(Tabla1[[#This Row],[TRIMESTRE  I]:[TRIMESTRE IV]])</f>
        <v>20000</v>
      </c>
      <c r="O112" s="39" t="s">
        <v>6</v>
      </c>
      <c r="P112" s="39" t="s">
        <v>469</v>
      </c>
      <c r="Q112" s="59" t="s">
        <v>471</v>
      </c>
    </row>
    <row r="113" spans="2:17" ht="22.5" x14ac:dyDescent="0.2">
      <c r="B113" s="34">
        <v>201</v>
      </c>
      <c r="C113" s="35" t="s">
        <v>467</v>
      </c>
      <c r="D113" s="36">
        <v>530</v>
      </c>
      <c r="E113" s="43" t="str">
        <f>IF(D113&lt;=0,"",VLOOKUP(D113,[1]FF!A:D,2,0))</f>
        <v>PARTICIPACIONES Ramo 28</v>
      </c>
      <c r="F113" s="37" t="s">
        <v>480</v>
      </c>
      <c r="G113" s="37" t="s">
        <v>458</v>
      </c>
      <c r="H113" s="38">
        <v>361001</v>
      </c>
      <c r="I113" s="44" t="str">
        <f>IF(H113&lt;=0,"",VLOOKUP(H113,COG!A:H,2,0))</f>
        <v>Gastos de difusión</v>
      </c>
      <c r="J113" s="39">
        <v>0</v>
      </c>
      <c r="K113" s="39">
        <v>0</v>
      </c>
      <c r="L113" s="39">
        <v>0</v>
      </c>
      <c r="M113" s="39">
        <v>11000</v>
      </c>
      <c r="N113" s="45">
        <f>SUM(Tabla1[[#This Row],[TRIMESTRE  I]:[TRIMESTRE IV]])</f>
        <v>11000</v>
      </c>
      <c r="O113" s="39" t="s">
        <v>6</v>
      </c>
      <c r="P113" s="39" t="s">
        <v>469</v>
      </c>
      <c r="Q113" s="59" t="s">
        <v>471</v>
      </c>
    </row>
    <row r="114" spans="2:17" ht="22.5" x14ac:dyDescent="0.2">
      <c r="B114" s="34">
        <v>201</v>
      </c>
      <c r="C114" s="35" t="s">
        <v>467</v>
      </c>
      <c r="D114" s="36">
        <v>530</v>
      </c>
      <c r="E114" s="43" t="str">
        <f>IF(D114&lt;=0,"",VLOOKUP(D114,[1]FF!A:D,2,0))</f>
        <v>PARTICIPACIONES Ramo 28</v>
      </c>
      <c r="F114" s="37" t="s">
        <v>480</v>
      </c>
      <c r="G114" s="37" t="s">
        <v>458</v>
      </c>
      <c r="H114" s="38">
        <v>371001</v>
      </c>
      <c r="I114" s="44" t="str">
        <f>IF(H114&lt;=0,"",VLOOKUP(H114,COG!A:H,2,0))</f>
        <v>Pasajes aéreos</v>
      </c>
      <c r="J114" s="39">
        <v>6375</v>
      </c>
      <c r="K114" s="39">
        <v>6375</v>
      </c>
      <c r="L114" s="39">
        <v>6375</v>
      </c>
      <c r="M114" s="39">
        <v>6375</v>
      </c>
      <c r="N114" s="45">
        <f>SUM(Tabla1[[#This Row],[TRIMESTRE  I]:[TRIMESTRE IV]])</f>
        <v>25500</v>
      </c>
      <c r="O114" s="39" t="s">
        <v>5</v>
      </c>
      <c r="P114" s="39" t="s">
        <v>472</v>
      </c>
      <c r="Q114" s="59" t="s">
        <v>470</v>
      </c>
    </row>
    <row r="115" spans="2:17" ht="22.5" x14ac:dyDescent="0.2">
      <c r="B115" s="34">
        <v>201</v>
      </c>
      <c r="C115" s="35" t="s">
        <v>467</v>
      </c>
      <c r="D115" s="36">
        <v>530</v>
      </c>
      <c r="E115" s="43" t="str">
        <f>IF(D115&lt;=0,"",VLOOKUP(D115,[1]FF!A:D,2,0))</f>
        <v>PARTICIPACIONES Ramo 28</v>
      </c>
      <c r="F115" s="37" t="s">
        <v>480</v>
      </c>
      <c r="G115" s="37" t="s">
        <v>458</v>
      </c>
      <c r="H115" s="38">
        <v>375001</v>
      </c>
      <c r="I115" s="44" t="str">
        <f>IF(H115&lt;=0,"",VLOOKUP(H115,COG!A:H,2,0))</f>
        <v>Viáticos</v>
      </c>
      <c r="J115" s="39">
        <v>2833</v>
      </c>
      <c r="K115" s="39">
        <v>2747</v>
      </c>
      <c r="L115" s="39">
        <v>9066</v>
      </c>
      <c r="M115" s="39">
        <v>5666</v>
      </c>
      <c r="N115" s="45">
        <f>SUM(Tabla1[[#This Row],[TRIMESTRE  I]:[TRIMESTRE IV]])</f>
        <v>20312</v>
      </c>
      <c r="O115" s="39" t="s">
        <v>6</v>
      </c>
      <c r="P115" s="39" t="s">
        <v>469</v>
      </c>
      <c r="Q115" s="59" t="s">
        <v>471</v>
      </c>
    </row>
    <row r="116" spans="2:17" ht="22.5" x14ac:dyDescent="0.2">
      <c r="B116" s="34">
        <v>201</v>
      </c>
      <c r="C116" s="35" t="s">
        <v>467</v>
      </c>
      <c r="D116" s="36">
        <v>530</v>
      </c>
      <c r="E116" s="43" t="str">
        <f>IF(D116&lt;=0,"",VLOOKUP(D116,[1]FF!A:D,2,0))</f>
        <v>PARTICIPACIONES Ramo 28</v>
      </c>
      <c r="F116" s="37" t="s">
        <v>480</v>
      </c>
      <c r="G116" s="37" t="s">
        <v>458</v>
      </c>
      <c r="H116" s="38">
        <v>382002</v>
      </c>
      <c r="I116" s="44" t="str">
        <f>IF(H116&lt;=0,"",VLOOKUP(H116,COG!A:H,2,0))</f>
        <v>Gastos de recepción, conmemorativos y de orden social</v>
      </c>
      <c r="J116" s="39">
        <v>1000</v>
      </c>
      <c r="K116" s="39">
        <v>1000</v>
      </c>
      <c r="L116" s="39">
        <v>2000</v>
      </c>
      <c r="M116" s="39">
        <v>1000</v>
      </c>
      <c r="N116" s="45">
        <f>SUM(Tabla1[[#This Row],[TRIMESTRE  I]:[TRIMESTRE IV]])</f>
        <v>5000</v>
      </c>
      <c r="O116" s="39" t="s">
        <v>6</v>
      </c>
      <c r="P116" s="39" t="s">
        <v>469</v>
      </c>
      <c r="Q116" s="59" t="s">
        <v>471</v>
      </c>
    </row>
    <row r="117" spans="2:17" ht="22.5" x14ac:dyDescent="0.2">
      <c r="B117" s="34">
        <v>201</v>
      </c>
      <c r="C117" s="35" t="s">
        <v>467</v>
      </c>
      <c r="D117" s="36">
        <v>530</v>
      </c>
      <c r="E117" s="43" t="str">
        <f>IF(D117&lt;=0,"",VLOOKUP(D117,[1]FF!A:D,2,0))</f>
        <v>PARTICIPACIONES Ramo 28</v>
      </c>
      <c r="F117" s="37" t="s">
        <v>480</v>
      </c>
      <c r="G117" s="37" t="s">
        <v>458</v>
      </c>
      <c r="H117" s="38">
        <v>383001</v>
      </c>
      <c r="I117" s="44" t="str">
        <f>IF(H117&lt;=0,"",VLOOKUP(H117,COG!A:H,2,0))</f>
        <v>Congresos y convenciones</v>
      </c>
      <c r="J117" s="39">
        <v>0</v>
      </c>
      <c r="K117" s="39">
        <v>4250</v>
      </c>
      <c r="L117" s="39">
        <v>4250</v>
      </c>
      <c r="M117" s="39">
        <v>4250</v>
      </c>
      <c r="N117" s="45">
        <f>SUM(Tabla1[[#This Row],[TRIMESTRE  I]:[TRIMESTRE IV]])</f>
        <v>12750</v>
      </c>
      <c r="O117" s="39" t="s">
        <v>6</v>
      </c>
      <c r="P117" s="39" t="s">
        <v>469</v>
      </c>
      <c r="Q117" s="59" t="s">
        <v>471</v>
      </c>
    </row>
    <row r="118" spans="2:17" ht="45" x14ac:dyDescent="0.2">
      <c r="B118" s="34">
        <v>201</v>
      </c>
      <c r="C118" s="35" t="s">
        <v>467</v>
      </c>
      <c r="D118" s="36">
        <v>530</v>
      </c>
      <c r="E118" s="43" t="str">
        <f>IF(D118&lt;=0,"",VLOOKUP(D118,[1]FF!A:D,2,0))</f>
        <v>PARTICIPACIONES Ramo 28</v>
      </c>
      <c r="F118" s="37" t="s">
        <v>481</v>
      </c>
      <c r="G118" s="37" t="s">
        <v>461</v>
      </c>
      <c r="H118" s="38">
        <v>211001</v>
      </c>
      <c r="I118" s="44" t="str">
        <f>IF(H118&lt;=0,"",VLOOKUP(H118,COG!A:H,2,0))</f>
        <v>Material de oficina</v>
      </c>
      <c r="J118" s="39">
        <v>9740</v>
      </c>
      <c r="K118" s="39">
        <v>12942</v>
      </c>
      <c r="L118" s="39">
        <v>7259</v>
      </c>
      <c r="M118" s="39">
        <v>5559</v>
      </c>
      <c r="N118" s="45">
        <f>SUM(Tabla1[[#This Row],[TRIMESTRE  I]:[TRIMESTRE IV]])</f>
        <v>35500</v>
      </c>
      <c r="O118" s="39" t="s">
        <v>5</v>
      </c>
      <c r="P118" s="39" t="s">
        <v>472</v>
      </c>
      <c r="Q118" s="59" t="s">
        <v>470</v>
      </c>
    </row>
    <row r="119" spans="2:17" ht="45" x14ac:dyDescent="0.2">
      <c r="B119" s="34">
        <v>201</v>
      </c>
      <c r="C119" s="35" t="s">
        <v>467</v>
      </c>
      <c r="D119" s="36">
        <v>530</v>
      </c>
      <c r="E119" s="43" t="str">
        <f>IF(D119&lt;=0,"",VLOOKUP(D119,[1]FF!A:D,2,0))</f>
        <v>PARTICIPACIONES Ramo 28</v>
      </c>
      <c r="F119" s="37" t="s">
        <v>481</v>
      </c>
      <c r="G119" s="37" t="s">
        <v>461</v>
      </c>
      <c r="H119" s="38">
        <v>214001</v>
      </c>
      <c r="I119" s="44" t="str">
        <f>IF(H119&lt;=0,"",VLOOKUP(H119,COG!A:H,2,0))</f>
        <v>Materiales, útiles y equipos menores de tecnologías de la información y comunicaciones</v>
      </c>
      <c r="J119" s="39">
        <v>15631</v>
      </c>
      <c r="K119" s="39">
        <v>25363</v>
      </c>
      <c r="L119" s="39">
        <v>16417</v>
      </c>
      <c r="M119" s="39">
        <v>16417</v>
      </c>
      <c r="N119" s="45">
        <f>SUM(Tabla1[[#This Row],[TRIMESTRE  I]:[TRIMESTRE IV]])</f>
        <v>73828</v>
      </c>
      <c r="O119" s="39" t="s">
        <v>6</v>
      </c>
      <c r="P119" s="39" t="s">
        <v>469</v>
      </c>
      <c r="Q119" s="59" t="s">
        <v>471</v>
      </c>
    </row>
    <row r="120" spans="2:17" ht="45" x14ac:dyDescent="0.2">
      <c r="B120" s="34">
        <v>201</v>
      </c>
      <c r="C120" s="35" t="s">
        <v>467</v>
      </c>
      <c r="D120" s="36">
        <v>530</v>
      </c>
      <c r="E120" s="43" t="str">
        <f>IF(D120&lt;=0,"",VLOOKUP(D120,[1]FF!A:D,2,0))</f>
        <v>PARTICIPACIONES Ramo 28</v>
      </c>
      <c r="F120" s="37" t="s">
        <v>481</v>
      </c>
      <c r="G120" s="37" t="s">
        <v>461</v>
      </c>
      <c r="H120" s="38">
        <v>216001</v>
      </c>
      <c r="I120" s="44" t="str">
        <f>IF(H120&lt;=0,"",VLOOKUP(H120,COG!A:H,2,0))</f>
        <v>Material de limpieza</v>
      </c>
      <c r="J120" s="39">
        <v>1500</v>
      </c>
      <c r="K120" s="39">
        <v>1500</v>
      </c>
      <c r="L120" s="39">
        <v>1500</v>
      </c>
      <c r="M120" s="39">
        <v>1500</v>
      </c>
      <c r="N120" s="45">
        <f>SUM(Tabla1[[#This Row],[TRIMESTRE  I]:[TRIMESTRE IV]])</f>
        <v>6000</v>
      </c>
      <c r="O120" s="39" t="s">
        <v>6</v>
      </c>
      <c r="P120" s="39" t="s">
        <v>469</v>
      </c>
      <c r="Q120" s="59" t="s">
        <v>471</v>
      </c>
    </row>
    <row r="121" spans="2:17" ht="45" x14ac:dyDescent="0.2">
      <c r="B121" s="34">
        <v>201</v>
      </c>
      <c r="C121" s="35" t="s">
        <v>467</v>
      </c>
      <c r="D121" s="36">
        <v>530</v>
      </c>
      <c r="E121" s="43" t="str">
        <f>IF(D121&lt;=0,"",VLOOKUP(D121,[1]FF!A:D,2,0))</f>
        <v>PARTICIPACIONES Ramo 28</v>
      </c>
      <c r="F121" s="37" t="s">
        <v>481</v>
      </c>
      <c r="G121" s="37" t="s">
        <v>461</v>
      </c>
      <c r="H121" s="38">
        <v>261001</v>
      </c>
      <c r="I121" s="44" t="str">
        <f>IF(H121&lt;=0,"",VLOOKUP(H121,COG!A:H,2,0))</f>
        <v>Combustibles</v>
      </c>
      <c r="J121" s="39">
        <v>13431</v>
      </c>
      <c r="K121" s="39">
        <v>13431</v>
      </c>
      <c r="L121" s="39">
        <v>10500</v>
      </c>
      <c r="M121" s="39">
        <v>10500</v>
      </c>
      <c r="N121" s="45">
        <f>SUM(Tabla1[[#This Row],[TRIMESTRE  I]:[TRIMESTRE IV]])</f>
        <v>47862</v>
      </c>
      <c r="O121" s="39" t="s">
        <v>5</v>
      </c>
      <c r="P121" s="39" t="s">
        <v>472</v>
      </c>
      <c r="Q121" s="59" t="s">
        <v>470</v>
      </c>
    </row>
    <row r="122" spans="2:17" ht="45" x14ac:dyDescent="0.2">
      <c r="B122" s="34">
        <v>201</v>
      </c>
      <c r="C122" s="35" t="s">
        <v>467</v>
      </c>
      <c r="D122" s="36">
        <v>530</v>
      </c>
      <c r="E122" s="43" t="str">
        <f>IF(D122&lt;=0,"",VLOOKUP(D122,[1]FF!A:D,2,0))</f>
        <v>PARTICIPACIONES Ramo 28</v>
      </c>
      <c r="F122" s="37" t="s">
        <v>481</v>
      </c>
      <c r="G122" s="37" t="s">
        <v>458</v>
      </c>
      <c r="H122" s="38">
        <v>314001</v>
      </c>
      <c r="I122" s="44" t="str">
        <f>IF(H122&lt;=0,"",VLOOKUP(H122,COG!A:H,2,0))</f>
        <v>Servicio telefónico</v>
      </c>
      <c r="J122" s="39">
        <v>341</v>
      </c>
      <c r="K122" s="39">
        <v>1021</v>
      </c>
      <c r="L122" s="39">
        <v>226</v>
      </c>
      <c r="M122" s="39">
        <v>0</v>
      </c>
      <c r="N122" s="45">
        <f>SUM(Tabla1[[#This Row],[TRIMESTRE  I]:[TRIMESTRE IV]])</f>
        <v>1588</v>
      </c>
      <c r="O122" s="39"/>
      <c r="P122" s="39"/>
      <c r="Q122" s="59"/>
    </row>
    <row r="123" spans="2:17" ht="45" x14ac:dyDescent="0.2">
      <c r="B123" s="34">
        <v>201</v>
      </c>
      <c r="C123" s="35" t="s">
        <v>467</v>
      </c>
      <c r="D123" s="36">
        <v>530</v>
      </c>
      <c r="E123" s="43" t="str">
        <f>IF(D123&lt;=0,"",VLOOKUP(D123,[1]FF!A:D,2,0))</f>
        <v>PARTICIPACIONES Ramo 28</v>
      </c>
      <c r="F123" s="37" t="s">
        <v>481</v>
      </c>
      <c r="G123" s="37" t="s">
        <v>458</v>
      </c>
      <c r="H123" s="38">
        <v>322001</v>
      </c>
      <c r="I123" s="44" t="str">
        <f>IF(H123&lt;=0,"",VLOOKUP(H123,COG!A:H,2,0))</f>
        <v>Arrendamiento de edificios</v>
      </c>
      <c r="J123" s="39">
        <v>37236</v>
      </c>
      <c r="K123" s="39">
        <v>37236</v>
      </c>
      <c r="L123" s="39">
        <v>37236</v>
      </c>
      <c r="M123" s="39">
        <v>37236</v>
      </c>
      <c r="N123" s="45">
        <f>SUM(Tabla1[[#This Row],[TRIMESTRE  I]:[TRIMESTRE IV]])</f>
        <v>148944</v>
      </c>
      <c r="O123" s="39" t="s">
        <v>6</v>
      </c>
      <c r="P123" s="39" t="s">
        <v>472</v>
      </c>
      <c r="Q123" s="59" t="s">
        <v>471</v>
      </c>
    </row>
    <row r="124" spans="2:17" ht="45" x14ac:dyDescent="0.2">
      <c r="B124" s="34">
        <v>201</v>
      </c>
      <c r="C124" s="35" t="s">
        <v>467</v>
      </c>
      <c r="D124" s="36">
        <v>530</v>
      </c>
      <c r="E124" s="43" t="str">
        <f>IF(D124&lt;=0,"",VLOOKUP(D124,[1]FF!A:D,2,0))</f>
        <v>PARTICIPACIONES Ramo 28</v>
      </c>
      <c r="F124" s="37" t="s">
        <v>481</v>
      </c>
      <c r="G124" s="37" t="s">
        <v>458</v>
      </c>
      <c r="H124" s="38">
        <v>323001</v>
      </c>
      <c r="I124" s="44" t="str">
        <f>IF(H124&lt;=0,"",VLOOKUP(H124,COG!A:H,2,0))</f>
        <v>Arrendamiento de maquinaria y equipo</v>
      </c>
      <c r="J124" s="39">
        <v>20000</v>
      </c>
      <c r="K124" s="39">
        <v>40000</v>
      </c>
      <c r="L124" s="39">
        <v>20000</v>
      </c>
      <c r="M124" s="39">
        <v>20000</v>
      </c>
      <c r="N124" s="45">
        <f>SUM(Tabla1[[#This Row],[TRIMESTRE  I]:[TRIMESTRE IV]])</f>
        <v>100000</v>
      </c>
      <c r="O124" s="39" t="s">
        <v>5</v>
      </c>
      <c r="P124" s="39" t="s">
        <v>472</v>
      </c>
      <c r="Q124" s="59" t="s">
        <v>470</v>
      </c>
    </row>
    <row r="125" spans="2:17" ht="45" x14ac:dyDescent="0.2">
      <c r="B125" s="34">
        <v>201</v>
      </c>
      <c r="C125" s="35" t="s">
        <v>467</v>
      </c>
      <c r="D125" s="36">
        <v>530</v>
      </c>
      <c r="E125" s="43" t="str">
        <f>IF(D125&lt;=0,"",VLOOKUP(D125,[1]FF!A:D,2,0))</f>
        <v>PARTICIPACIONES Ramo 28</v>
      </c>
      <c r="F125" s="37" t="s">
        <v>481</v>
      </c>
      <c r="G125" s="37" t="s">
        <v>458</v>
      </c>
      <c r="H125" s="38">
        <v>371001</v>
      </c>
      <c r="I125" s="44" t="str">
        <f>IF(H125&lt;=0,"",VLOOKUP(H125,COG!A:H,2,0))</f>
        <v>Pasajes aéreos</v>
      </c>
      <c r="J125" s="39">
        <v>8500</v>
      </c>
      <c r="K125" s="39">
        <v>20400</v>
      </c>
      <c r="L125" s="39">
        <v>5950</v>
      </c>
      <c r="M125" s="39">
        <v>7650</v>
      </c>
      <c r="N125" s="45">
        <f>SUM(Tabla1[[#This Row],[TRIMESTRE  I]:[TRIMESTRE IV]])</f>
        <v>42500</v>
      </c>
      <c r="O125" s="39" t="s">
        <v>5</v>
      </c>
      <c r="P125" s="39" t="s">
        <v>472</v>
      </c>
      <c r="Q125" s="59" t="s">
        <v>470</v>
      </c>
    </row>
    <row r="126" spans="2:17" ht="45" x14ac:dyDescent="0.2">
      <c r="B126" s="34">
        <v>201</v>
      </c>
      <c r="C126" s="35" t="s">
        <v>467</v>
      </c>
      <c r="D126" s="36">
        <v>530</v>
      </c>
      <c r="E126" s="43" t="str">
        <f>IF(D126&lt;=0,"",VLOOKUP(D126,[1]FF!A:D,2,0))</f>
        <v>PARTICIPACIONES Ramo 28</v>
      </c>
      <c r="F126" s="37" t="s">
        <v>481</v>
      </c>
      <c r="G126" s="37" t="s">
        <v>458</v>
      </c>
      <c r="H126" s="38">
        <v>375001</v>
      </c>
      <c r="I126" s="44" t="str">
        <f>IF(H126&lt;=0,"",VLOOKUP(H126,COG!A:H,2,0))</f>
        <v>Viáticos</v>
      </c>
      <c r="J126" s="39">
        <v>13479</v>
      </c>
      <c r="K126" s="39">
        <v>21847</v>
      </c>
      <c r="L126" s="39">
        <v>8374</v>
      </c>
      <c r="M126" s="39">
        <v>8983</v>
      </c>
      <c r="N126" s="45">
        <f>SUM(Tabla1[[#This Row],[TRIMESTRE  I]:[TRIMESTRE IV]])</f>
        <v>52683</v>
      </c>
      <c r="O126" s="39" t="s">
        <v>6</v>
      </c>
      <c r="P126" s="39" t="s">
        <v>469</v>
      </c>
      <c r="Q126" s="59" t="s">
        <v>471</v>
      </c>
    </row>
    <row r="127" spans="2:17" ht="45" x14ac:dyDescent="0.2">
      <c r="B127" s="34">
        <v>201</v>
      </c>
      <c r="C127" s="35" t="s">
        <v>467</v>
      </c>
      <c r="D127" s="36">
        <v>530</v>
      </c>
      <c r="E127" s="43" t="str">
        <f>IF(D127&lt;=0,"",VLOOKUP(D127,[1]FF!A:D,2,0))</f>
        <v>PARTICIPACIONES Ramo 28</v>
      </c>
      <c r="F127" s="37" t="s">
        <v>481</v>
      </c>
      <c r="G127" s="37" t="s">
        <v>458</v>
      </c>
      <c r="H127" s="38">
        <v>383001</v>
      </c>
      <c r="I127" s="44" t="str">
        <f>IF(H127&lt;=0,"",VLOOKUP(H127,COG!A:H,2,0))</f>
        <v>Congresos y convenciones</v>
      </c>
      <c r="J127" s="39">
        <v>18997</v>
      </c>
      <c r="K127" s="39">
        <v>33011</v>
      </c>
      <c r="L127" s="39">
        <v>12247</v>
      </c>
      <c r="M127" s="39">
        <v>13019</v>
      </c>
      <c r="N127" s="45">
        <f>SUM(Tabla1[[#This Row],[TRIMESTRE  I]:[TRIMESTRE IV]])</f>
        <v>77274</v>
      </c>
      <c r="O127" s="39" t="s">
        <v>6</v>
      </c>
      <c r="P127" s="39" t="s">
        <v>469</v>
      </c>
      <c r="Q127" s="59" t="s">
        <v>471</v>
      </c>
    </row>
    <row r="128" spans="2:17" ht="22.5" x14ac:dyDescent="0.2">
      <c r="B128" s="34">
        <v>202</v>
      </c>
      <c r="C128" s="35" t="s">
        <v>467</v>
      </c>
      <c r="D128" s="36">
        <v>530</v>
      </c>
      <c r="E128" s="43" t="str">
        <f>IF(D128&lt;=0,"",VLOOKUP(D128,[1]FF!A:D,2,0))</f>
        <v>PARTICIPACIONES Ramo 28</v>
      </c>
      <c r="F128" s="37" t="s">
        <v>482</v>
      </c>
      <c r="G128" s="37" t="s">
        <v>461</v>
      </c>
      <c r="H128" s="38">
        <v>211001</v>
      </c>
      <c r="I128" s="44" t="str">
        <f>IF(H128&lt;=0,"",VLOOKUP(H128,COG!A:H,2,0))</f>
        <v>Material de oficina</v>
      </c>
      <c r="J128" s="39">
        <v>13268</v>
      </c>
      <c r="K128" s="39">
        <v>13269</v>
      </c>
      <c r="L128" s="39">
        <v>13267</v>
      </c>
      <c r="M128" s="39">
        <v>13267</v>
      </c>
      <c r="N128" s="45">
        <f>SUM(Tabla1[[#This Row],[TRIMESTRE  I]:[TRIMESTRE IV]])</f>
        <v>53071</v>
      </c>
      <c r="O128" s="39" t="s">
        <v>5</v>
      </c>
      <c r="P128" s="39" t="s">
        <v>472</v>
      </c>
      <c r="Q128" s="59" t="s">
        <v>470</v>
      </c>
    </row>
    <row r="129" spans="2:17" ht="22.5" x14ac:dyDescent="0.2">
      <c r="B129" s="34">
        <v>202</v>
      </c>
      <c r="C129" s="35" t="s">
        <v>467</v>
      </c>
      <c r="D129" s="36">
        <v>530</v>
      </c>
      <c r="E129" s="43" t="str">
        <f>IF(D129&lt;=0,"",VLOOKUP(D129,[1]FF!A:D,2,0))</f>
        <v>PARTICIPACIONES Ramo 28</v>
      </c>
      <c r="F129" s="37" t="s">
        <v>482</v>
      </c>
      <c r="G129" s="37" t="s">
        <v>461</v>
      </c>
      <c r="H129" s="38">
        <v>212001</v>
      </c>
      <c r="I129" s="44" t="str">
        <f>IF(H129&lt;=0,"",VLOOKUP(H129,COG!A:H,2,0))</f>
        <v>Material y útiles de impresión</v>
      </c>
      <c r="J129" s="39">
        <v>7532</v>
      </c>
      <c r="K129" s="39">
        <v>7521</v>
      </c>
      <c r="L129" s="39">
        <v>7521</v>
      </c>
      <c r="M129" s="39">
        <v>7521</v>
      </c>
      <c r="N129" s="45">
        <f>SUM(Tabla1[[#This Row],[TRIMESTRE  I]:[TRIMESTRE IV]])</f>
        <v>30095</v>
      </c>
      <c r="O129" s="39" t="s">
        <v>6</v>
      </c>
      <c r="P129" s="39" t="s">
        <v>469</v>
      </c>
      <c r="Q129" s="59" t="s">
        <v>471</v>
      </c>
    </row>
    <row r="130" spans="2:17" ht="22.5" x14ac:dyDescent="0.2">
      <c r="B130" s="34">
        <v>202</v>
      </c>
      <c r="C130" s="35" t="s">
        <v>483</v>
      </c>
      <c r="D130" s="36">
        <v>530</v>
      </c>
      <c r="E130" s="42" t="str">
        <f>IF(D130&lt;=0,"",VLOOKUP(D130,[1]FF!A:D,2,0))</f>
        <v>PARTICIPACIONES Ramo 28</v>
      </c>
      <c r="F130" s="37" t="s">
        <v>482</v>
      </c>
      <c r="G130" s="37" t="s">
        <v>461</v>
      </c>
      <c r="H130" s="38">
        <v>215001</v>
      </c>
      <c r="I130" s="41" t="str">
        <f>IF(H130&lt;=0,"",VLOOKUP(H130,COG!A:H,2,0))</f>
        <v>Material didáctico</v>
      </c>
      <c r="J130" s="39">
        <v>22698</v>
      </c>
      <c r="K130" s="39">
        <v>22698</v>
      </c>
      <c r="L130" s="39">
        <v>22698</v>
      </c>
      <c r="M130" s="39">
        <v>22698</v>
      </c>
      <c r="N130" s="1">
        <f>SUM(Tabla1[[#This Row],[TRIMESTRE  I]:[TRIMESTRE IV]])</f>
        <v>90792</v>
      </c>
      <c r="O130" s="39" t="s">
        <v>6</v>
      </c>
      <c r="P130" s="39" t="s">
        <v>469</v>
      </c>
      <c r="Q130" s="59" t="s">
        <v>471</v>
      </c>
    </row>
    <row r="131" spans="2:17" ht="22.5" x14ac:dyDescent="0.2">
      <c r="B131" s="34">
        <v>202</v>
      </c>
      <c r="C131" s="35" t="s">
        <v>467</v>
      </c>
      <c r="D131" s="36">
        <v>530</v>
      </c>
      <c r="E131" s="42" t="str">
        <f>IF(D131&lt;=0,"",VLOOKUP(D131,[1]FF!A:D,2,0))</f>
        <v>PARTICIPACIONES Ramo 28</v>
      </c>
      <c r="F131" s="37" t="s">
        <v>482</v>
      </c>
      <c r="G131" s="37" t="s">
        <v>461</v>
      </c>
      <c r="H131" s="38">
        <v>216001</v>
      </c>
      <c r="I131" s="41" t="str">
        <f>IF(H131&lt;=0,"",VLOOKUP(H131,COG!A:H,2,0))</f>
        <v>Material de limpieza</v>
      </c>
      <c r="J131" s="39">
        <v>3196</v>
      </c>
      <c r="K131" s="39">
        <v>3195</v>
      </c>
      <c r="L131" s="39">
        <v>3195</v>
      </c>
      <c r="M131" s="39">
        <v>3195</v>
      </c>
      <c r="N131" s="1">
        <f>SUM(Tabla1[[#This Row],[TRIMESTRE  I]:[TRIMESTRE IV]])</f>
        <v>12781</v>
      </c>
      <c r="O131" s="39" t="s">
        <v>5</v>
      </c>
      <c r="P131" s="39" t="s">
        <v>472</v>
      </c>
      <c r="Q131" s="59" t="s">
        <v>470</v>
      </c>
    </row>
    <row r="132" spans="2:17" ht="22.5" x14ac:dyDescent="0.2">
      <c r="B132" s="34">
        <v>202</v>
      </c>
      <c r="C132" s="35" t="s">
        <v>467</v>
      </c>
      <c r="D132" s="36">
        <v>530</v>
      </c>
      <c r="E132" s="42" t="str">
        <f>IF(D132&lt;=0,"",VLOOKUP(D132,[1]FF!A:D,2,0))</f>
        <v>PARTICIPACIONES Ramo 28</v>
      </c>
      <c r="F132" s="37" t="s">
        <v>482</v>
      </c>
      <c r="G132" s="37" t="s">
        <v>461</v>
      </c>
      <c r="H132" s="38">
        <v>221001</v>
      </c>
      <c r="I132" s="41" t="str">
        <f>IF(H132&lt;=0,"",VLOOKUP(H132,COG!A:H,2,0))</f>
        <v>Alimentación de personas</v>
      </c>
      <c r="J132" s="39">
        <v>4704</v>
      </c>
      <c r="K132" s="39">
        <v>4704</v>
      </c>
      <c r="L132" s="39">
        <v>4704</v>
      </c>
      <c r="M132" s="39">
        <v>4704</v>
      </c>
      <c r="N132" s="1">
        <f>SUM(Tabla1[[#This Row],[TRIMESTRE  I]:[TRIMESTRE IV]])</f>
        <v>18816</v>
      </c>
      <c r="O132" s="39" t="s">
        <v>6</v>
      </c>
      <c r="P132" s="39" t="s">
        <v>469</v>
      </c>
      <c r="Q132" s="59" t="s">
        <v>471</v>
      </c>
    </row>
    <row r="133" spans="2:17" ht="22.5" x14ac:dyDescent="0.2">
      <c r="B133" s="34">
        <v>202</v>
      </c>
      <c r="C133" s="35" t="s">
        <v>467</v>
      </c>
      <c r="D133" s="36">
        <v>530</v>
      </c>
      <c r="E133" s="42" t="str">
        <f>IF(D133&lt;=0,"",VLOOKUP(D133,[1]FF!A:D,2,0))</f>
        <v>PARTICIPACIONES Ramo 28</v>
      </c>
      <c r="F133" s="37" t="s">
        <v>482</v>
      </c>
      <c r="G133" s="37" t="s">
        <v>461</v>
      </c>
      <c r="H133" s="38">
        <v>246001</v>
      </c>
      <c r="I133" s="41" t="str">
        <f>IF(H133&lt;=0,"",VLOOKUP(H133,COG!A:H,2,0))</f>
        <v>Material eléctrico</v>
      </c>
      <c r="J133" s="39">
        <v>723</v>
      </c>
      <c r="K133" s="39">
        <v>723</v>
      </c>
      <c r="L133" s="39">
        <v>723</v>
      </c>
      <c r="M133" s="39">
        <v>723</v>
      </c>
      <c r="N133" s="1">
        <f>SUM(Tabla1[[#This Row],[TRIMESTRE  I]:[TRIMESTRE IV]])</f>
        <v>2892</v>
      </c>
      <c r="O133" s="39" t="s">
        <v>6</v>
      </c>
      <c r="P133" s="39" t="s">
        <v>469</v>
      </c>
      <c r="Q133" s="59" t="s">
        <v>471</v>
      </c>
    </row>
    <row r="134" spans="2:17" ht="22.5" x14ac:dyDescent="0.2">
      <c r="B134" s="34">
        <v>202</v>
      </c>
      <c r="C134" s="35" t="s">
        <v>467</v>
      </c>
      <c r="D134" s="36">
        <v>530</v>
      </c>
      <c r="E134" s="42" t="str">
        <f>IF(D134&lt;=0,"",VLOOKUP(D134,[1]FF!A:D,2,0))</f>
        <v>PARTICIPACIONES Ramo 28</v>
      </c>
      <c r="F134" s="37" t="s">
        <v>482</v>
      </c>
      <c r="G134" s="37" t="s">
        <v>461</v>
      </c>
      <c r="H134" s="38">
        <v>261001</v>
      </c>
      <c r="I134" s="41" t="str">
        <f>IF(H134&lt;=0,"",VLOOKUP(H134,COG!A:H,2,0))</f>
        <v>Combustibles</v>
      </c>
      <c r="J134" s="39">
        <v>97083</v>
      </c>
      <c r="K134" s="39">
        <v>97083</v>
      </c>
      <c r="L134" s="39">
        <v>97083</v>
      </c>
      <c r="M134" s="39">
        <v>97080</v>
      </c>
      <c r="N134" s="1">
        <f>SUM(Tabla1[[#This Row],[TRIMESTRE  I]:[TRIMESTRE IV]])</f>
        <v>388329</v>
      </c>
      <c r="O134" s="39" t="s">
        <v>5</v>
      </c>
      <c r="P134" s="39" t="s">
        <v>472</v>
      </c>
      <c r="Q134" s="59" t="s">
        <v>470</v>
      </c>
    </row>
    <row r="135" spans="2:17" ht="22.5" x14ac:dyDescent="0.2">
      <c r="B135" s="34">
        <v>202</v>
      </c>
      <c r="C135" s="35" t="s">
        <v>467</v>
      </c>
      <c r="D135" s="36">
        <v>530</v>
      </c>
      <c r="E135" s="42" t="str">
        <f>IF(D135&lt;=0,"",VLOOKUP(D135,[1]FF!A:D,2,0))</f>
        <v>PARTICIPACIONES Ramo 28</v>
      </c>
      <c r="F135" s="37" t="s">
        <v>482</v>
      </c>
      <c r="G135" s="37" t="s">
        <v>461</v>
      </c>
      <c r="H135" s="38">
        <v>271001</v>
      </c>
      <c r="I135" s="41" t="str">
        <f>IF(H135&lt;=0,"",VLOOKUP(H135,COG!A:H,2,0))</f>
        <v>Ropa, vestuario y equipo</v>
      </c>
      <c r="J135" s="39">
        <v>5064</v>
      </c>
      <c r="K135" s="39">
        <v>5064</v>
      </c>
      <c r="L135" s="39">
        <v>5064</v>
      </c>
      <c r="M135" s="39">
        <v>5062</v>
      </c>
      <c r="N135" s="1">
        <f>SUM(Tabla1[[#This Row],[TRIMESTRE  I]:[TRIMESTRE IV]])</f>
        <v>20254</v>
      </c>
      <c r="O135" s="39" t="s">
        <v>5</v>
      </c>
      <c r="P135" s="39" t="s">
        <v>472</v>
      </c>
      <c r="Q135" s="59" t="s">
        <v>470</v>
      </c>
    </row>
    <row r="136" spans="2:17" ht="22.5" x14ac:dyDescent="0.2">
      <c r="B136" s="34">
        <v>202</v>
      </c>
      <c r="C136" s="35" t="s">
        <v>467</v>
      </c>
      <c r="D136" s="36">
        <v>530</v>
      </c>
      <c r="E136" s="42" t="str">
        <f>IF(D136&lt;=0,"",VLOOKUP(D136,[1]FF!A:D,2,0))</f>
        <v>PARTICIPACIONES Ramo 28</v>
      </c>
      <c r="F136" s="37" t="s">
        <v>482</v>
      </c>
      <c r="G136" s="37" t="s">
        <v>461</v>
      </c>
      <c r="H136" s="38">
        <v>296001</v>
      </c>
      <c r="I136" s="41" t="str">
        <f>IF(H136&lt;=0,"",VLOOKUP(H136,COG!A:H,2,0))</f>
        <v>Herramientas, refacciones y accesorios</v>
      </c>
      <c r="J136" s="39">
        <v>2318</v>
      </c>
      <c r="K136" s="39">
        <v>2442</v>
      </c>
      <c r="L136" s="39">
        <v>2442</v>
      </c>
      <c r="M136" s="39">
        <v>2428</v>
      </c>
      <c r="N136" s="1">
        <f>SUM(Tabla1[[#This Row],[TRIMESTRE  I]:[TRIMESTRE IV]])</f>
        <v>9630</v>
      </c>
      <c r="O136" s="39" t="s">
        <v>6</v>
      </c>
      <c r="P136" s="39" t="s">
        <v>469</v>
      </c>
      <c r="Q136" s="59" t="s">
        <v>471</v>
      </c>
    </row>
    <row r="137" spans="2:17" ht="22.5" x14ac:dyDescent="0.2">
      <c r="B137" s="34">
        <v>202</v>
      </c>
      <c r="C137" s="35" t="s">
        <v>467</v>
      </c>
      <c r="D137" s="36">
        <v>530</v>
      </c>
      <c r="E137" s="42" t="str">
        <f>IF(D137&lt;=0,"",VLOOKUP(D137,[1]FF!A:D,2,0))</f>
        <v>PARTICIPACIONES Ramo 28</v>
      </c>
      <c r="F137" s="37" t="s">
        <v>482</v>
      </c>
      <c r="G137" s="37" t="s">
        <v>458</v>
      </c>
      <c r="H137" s="38">
        <v>311001</v>
      </c>
      <c r="I137" s="41" t="str">
        <f>IF(H137&lt;=0,"",VLOOKUP(H137,COG!A:H,2,0))</f>
        <v>Servicio de energía eléctrica</v>
      </c>
      <c r="J137" s="39">
        <v>153543</v>
      </c>
      <c r="K137" s="39">
        <v>153543</v>
      </c>
      <c r="L137" s="39">
        <v>51181</v>
      </c>
      <c r="M137" s="39">
        <v>102364</v>
      </c>
      <c r="N137" s="1">
        <f>SUM(Tabla1[[#This Row],[TRIMESTRE  I]:[TRIMESTRE IV]])</f>
        <v>460631</v>
      </c>
      <c r="O137" s="39"/>
      <c r="P137" s="79"/>
      <c r="Q137" s="59"/>
    </row>
    <row r="138" spans="2:17" ht="22.5" x14ac:dyDescent="0.2">
      <c r="B138" s="34">
        <v>202</v>
      </c>
      <c r="C138" s="35" t="s">
        <v>467</v>
      </c>
      <c r="D138" s="36">
        <v>530</v>
      </c>
      <c r="E138" s="42" t="str">
        <f>IF(D138&lt;=0,"",VLOOKUP(D138,[1]FF!A:D,2,0))</f>
        <v>PARTICIPACIONES Ramo 28</v>
      </c>
      <c r="F138" s="37" t="s">
        <v>482</v>
      </c>
      <c r="G138" s="37" t="s">
        <v>458</v>
      </c>
      <c r="H138" s="38">
        <v>314001</v>
      </c>
      <c r="I138" s="41" t="str">
        <f>IF(H138&lt;=0,"",VLOOKUP(H138,COG!A:H,2,0))</f>
        <v>Servicio telefónico</v>
      </c>
      <c r="J138" s="39">
        <v>267582</v>
      </c>
      <c r="K138" s="39">
        <v>268038</v>
      </c>
      <c r="L138" s="39">
        <v>268038</v>
      </c>
      <c r="M138" s="39">
        <v>268494</v>
      </c>
      <c r="N138" s="1">
        <f>SUM(Tabla1[[#This Row],[TRIMESTRE  I]:[TRIMESTRE IV]])</f>
        <v>1072152</v>
      </c>
      <c r="O138" s="39"/>
      <c r="P138" s="79"/>
      <c r="Q138" s="59"/>
    </row>
    <row r="139" spans="2:17" ht="22.5" x14ac:dyDescent="0.2">
      <c r="B139" s="34">
        <v>202</v>
      </c>
      <c r="C139" s="35" t="s">
        <v>467</v>
      </c>
      <c r="D139" s="36">
        <v>530</v>
      </c>
      <c r="E139" s="42" t="str">
        <f>IF(D139&lt;=0,"",VLOOKUP(D139,[1]FF!A:D,2,0))</f>
        <v>PARTICIPACIONES Ramo 28</v>
      </c>
      <c r="F139" s="37" t="s">
        <v>482</v>
      </c>
      <c r="G139" s="37" t="s">
        <v>458</v>
      </c>
      <c r="H139" s="38">
        <v>323001</v>
      </c>
      <c r="I139" s="41" t="str">
        <f>IF(H139&lt;=0,"",VLOOKUP(H139,COG!A:H,2,0))</f>
        <v>Arrendamiento de maquinaria y equipo</v>
      </c>
      <c r="J139" s="39">
        <v>8505</v>
      </c>
      <c r="K139" s="39">
        <v>8505</v>
      </c>
      <c r="L139" s="39">
        <v>8505</v>
      </c>
      <c r="M139" s="39">
        <v>8504</v>
      </c>
      <c r="N139" s="1">
        <f>SUM(Tabla1[[#This Row],[TRIMESTRE  I]:[TRIMESTRE IV]])</f>
        <v>34019</v>
      </c>
      <c r="O139" s="39" t="s">
        <v>5</v>
      </c>
      <c r="P139" s="39" t="s">
        <v>472</v>
      </c>
      <c r="Q139" s="59" t="s">
        <v>470</v>
      </c>
    </row>
    <row r="140" spans="2:17" ht="22.5" x14ac:dyDescent="0.2">
      <c r="B140" s="34">
        <v>202</v>
      </c>
      <c r="C140" s="35" t="s">
        <v>467</v>
      </c>
      <c r="D140" s="36">
        <v>530</v>
      </c>
      <c r="E140" s="42" t="str">
        <f>IF(D140&lt;=0,"",VLOOKUP(D140,[1]FF!A:D,2,0))</f>
        <v>PARTICIPACIONES Ramo 28</v>
      </c>
      <c r="F140" s="37" t="s">
        <v>482</v>
      </c>
      <c r="G140" s="37" t="s">
        <v>458</v>
      </c>
      <c r="H140" s="38">
        <v>345001</v>
      </c>
      <c r="I140" s="41" t="str">
        <f>IF(H140&lt;=0,"",VLOOKUP(H140,COG!A:H,2,0))</f>
        <v>Seguros</v>
      </c>
      <c r="J140" s="39">
        <v>1173</v>
      </c>
      <c r="K140" s="39">
        <v>1173</v>
      </c>
      <c r="L140" s="39">
        <v>1174</v>
      </c>
      <c r="M140" s="39">
        <v>1176</v>
      </c>
      <c r="N140" s="1">
        <f>SUM(Tabla1[[#This Row],[TRIMESTRE  I]:[TRIMESTRE IV]])</f>
        <v>4696</v>
      </c>
      <c r="O140" s="39" t="s">
        <v>5</v>
      </c>
      <c r="P140" s="39" t="s">
        <v>472</v>
      </c>
      <c r="Q140" s="59" t="s">
        <v>470</v>
      </c>
    </row>
    <row r="141" spans="2:17" ht="22.5" x14ac:dyDescent="0.2">
      <c r="B141" s="34">
        <v>202</v>
      </c>
      <c r="C141" s="35" t="s">
        <v>467</v>
      </c>
      <c r="D141" s="36">
        <v>530</v>
      </c>
      <c r="E141" s="42" t="str">
        <f>IF(D141&lt;=0,"",VLOOKUP(D141,[1]FF!A:D,2,0))</f>
        <v>PARTICIPACIONES Ramo 28</v>
      </c>
      <c r="F141" s="37" t="s">
        <v>482</v>
      </c>
      <c r="G141" s="37" t="s">
        <v>458</v>
      </c>
      <c r="H141" s="38">
        <v>352001</v>
      </c>
      <c r="I141" s="41" t="str">
        <f>IF(H141&lt;=0,"",VLOOKUP(H141,COG!A:H,2,0))</f>
        <v>Mantenimiento de mobiliario y equipo</v>
      </c>
      <c r="J141" s="39">
        <v>435</v>
      </c>
      <c r="K141" s="39">
        <v>435</v>
      </c>
      <c r="L141" s="39">
        <v>435</v>
      </c>
      <c r="M141" s="39">
        <v>435</v>
      </c>
      <c r="N141" s="1">
        <f>SUM(Tabla1[[#This Row],[TRIMESTRE  I]:[TRIMESTRE IV]])</f>
        <v>1740</v>
      </c>
      <c r="O141" s="39" t="s">
        <v>6</v>
      </c>
      <c r="P141" s="79" t="s">
        <v>469</v>
      </c>
      <c r="Q141" s="59" t="s">
        <v>471</v>
      </c>
    </row>
    <row r="142" spans="2:17" ht="27" x14ac:dyDescent="0.2">
      <c r="B142" s="34">
        <v>202</v>
      </c>
      <c r="C142" s="35" t="s">
        <v>467</v>
      </c>
      <c r="D142" s="36">
        <v>530</v>
      </c>
      <c r="E142" s="42" t="str">
        <f>IF(D142&lt;=0,"",VLOOKUP(D142,[1]FF!A:D,2,0))</f>
        <v>PARTICIPACIONES Ramo 28</v>
      </c>
      <c r="F142" s="37" t="s">
        <v>482</v>
      </c>
      <c r="G142" s="37" t="s">
        <v>458</v>
      </c>
      <c r="H142" s="38">
        <v>355001</v>
      </c>
      <c r="I142" s="41" t="str">
        <f>IF(H142&lt;=0,"",VLOOKUP(H142,COG!A:H,2,0))</f>
        <v>Mantto. y conservación de vehículos terrestres, aéreos, marítimos, lacustres y fluviales</v>
      </c>
      <c r="J142" s="39">
        <v>3207</v>
      </c>
      <c r="K142" s="39">
        <v>3207</v>
      </c>
      <c r="L142" s="39">
        <v>3207</v>
      </c>
      <c r="M142" s="39">
        <v>3207</v>
      </c>
      <c r="N142" s="1">
        <f>SUM(Tabla1[[#This Row],[TRIMESTRE  I]:[TRIMESTRE IV]])</f>
        <v>12828</v>
      </c>
      <c r="O142" s="39" t="s">
        <v>6</v>
      </c>
      <c r="P142" s="79" t="s">
        <v>469</v>
      </c>
      <c r="Q142" s="59" t="s">
        <v>471</v>
      </c>
    </row>
    <row r="143" spans="2:17" ht="33" x14ac:dyDescent="0.2">
      <c r="B143" s="34">
        <v>202</v>
      </c>
      <c r="C143" s="35" t="s">
        <v>467</v>
      </c>
      <c r="D143" s="36">
        <v>101</v>
      </c>
      <c r="E143" s="42" t="str">
        <f>IF(D143&lt;=0,"",VLOOKUP(D143,[1]FF!A:D,2,0))</f>
        <v>INGRESOS PROPIOS (IMPUESTOS, DERECHOS, PRODUCTOS Y APROVECHAMIENTOS)</v>
      </c>
      <c r="F143" s="37" t="s">
        <v>482</v>
      </c>
      <c r="G143" s="37" t="s">
        <v>458</v>
      </c>
      <c r="H143" s="38">
        <v>361001</v>
      </c>
      <c r="I143" s="41" t="str">
        <f>IF(H143&lt;=0,"",VLOOKUP(H143,COG!A:H,2,0))</f>
        <v>Gastos de difusión</v>
      </c>
      <c r="J143" s="39">
        <v>9000000</v>
      </c>
      <c r="K143" s="39">
        <v>9000000</v>
      </c>
      <c r="L143" s="39">
        <v>9000000</v>
      </c>
      <c r="M143" s="39">
        <v>9000000</v>
      </c>
      <c r="N143" s="1">
        <f>SUM(Tabla1[[#This Row],[TRIMESTRE  I]:[TRIMESTRE IV]])</f>
        <v>36000000</v>
      </c>
      <c r="O143" s="39" t="s">
        <v>6</v>
      </c>
      <c r="P143" s="79" t="s">
        <v>469</v>
      </c>
      <c r="Q143" s="59" t="s">
        <v>471</v>
      </c>
    </row>
    <row r="144" spans="2:17" ht="22.5" x14ac:dyDescent="0.2">
      <c r="B144" s="34">
        <v>202</v>
      </c>
      <c r="C144" s="35" t="s">
        <v>467</v>
      </c>
      <c r="D144" s="36">
        <v>530</v>
      </c>
      <c r="E144" s="42" t="str">
        <f>IF(D144&lt;=0,"",VLOOKUP(D144,[1]FF!A:D,2,0))</f>
        <v>PARTICIPACIONES Ramo 28</v>
      </c>
      <c r="F144" s="37" t="s">
        <v>482</v>
      </c>
      <c r="G144" s="37" t="s">
        <v>458</v>
      </c>
      <c r="H144" s="38">
        <v>361002</v>
      </c>
      <c r="I144" s="41" t="str">
        <f>IF(H144&lt;=0,"",VLOOKUP(H144,COG!A:H,2,0))</f>
        <v>Impresiones y publicaciones oficiales</v>
      </c>
      <c r="J144" s="39">
        <v>179684</v>
      </c>
      <c r="K144" s="39">
        <v>179566</v>
      </c>
      <c r="L144" s="39">
        <v>178107</v>
      </c>
      <c r="M144" s="39">
        <v>178094</v>
      </c>
      <c r="N144" s="1">
        <f>SUM(Tabla1[[#This Row],[TRIMESTRE  I]:[TRIMESTRE IV]])</f>
        <v>715451</v>
      </c>
      <c r="O144" s="39" t="s">
        <v>6</v>
      </c>
      <c r="P144" s="79" t="s">
        <v>469</v>
      </c>
      <c r="Q144" s="59" t="s">
        <v>471</v>
      </c>
    </row>
    <row r="145" spans="2:17" ht="22.5" x14ac:dyDescent="0.2">
      <c r="B145" s="34">
        <v>202</v>
      </c>
      <c r="C145" s="35" t="s">
        <v>467</v>
      </c>
      <c r="D145" s="36">
        <v>530</v>
      </c>
      <c r="E145" s="42" t="str">
        <f>IF(D145&lt;=0,"",VLOOKUP(D145,[1]FF!A:D,2,0))</f>
        <v>PARTICIPACIONES Ramo 28</v>
      </c>
      <c r="F145" s="37" t="s">
        <v>482</v>
      </c>
      <c r="G145" s="37" t="s">
        <v>458</v>
      </c>
      <c r="H145" s="38">
        <v>361003</v>
      </c>
      <c r="I145" s="41" t="str">
        <f>IF(H145&lt;=0,"",VLOOKUP(H145,COG!A:H,2,0))</f>
        <v>Rotulaciones oficiales</v>
      </c>
      <c r="J145" s="39">
        <v>24284</v>
      </c>
      <c r="K145" s="39">
        <v>24268</v>
      </c>
      <c r="L145" s="39">
        <v>24071</v>
      </c>
      <c r="M145" s="39">
        <v>24067</v>
      </c>
      <c r="N145" s="1">
        <f>SUM(Tabla1[[#This Row],[TRIMESTRE  I]:[TRIMESTRE IV]])</f>
        <v>96690</v>
      </c>
      <c r="O145" s="39" t="s">
        <v>6</v>
      </c>
      <c r="P145" s="79" t="s">
        <v>469</v>
      </c>
      <c r="Q145" s="59" t="s">
        <v>471</v>
      </c>
    </row>
    <row r="146" spans="2:17" ht="22.5" x14ac:dyDescent="0.2">
      <c r="B146" s="34">
        <v>202</v>
      </c>
      <c r="C146" s="35" t="s">
        <v>467</v>
      </c>
      <c r="D146" s="36">
        <v>530</v>
      </c>
      <c r="E146" s="42" t="str">
        <f>IF(D146&lt;=0,"",VLOOKUP(D146,[1]FF!A:D,2,0))</f>
        <v>PARTICIPACIONES Ramo 28</v>
      </c>
      <c r="F146" s="37" t="s">
        <v>482</v>
      </c>
      <c r="G146" s="37" t="s">
        <v>458</v>
      </c>
      <c r="H146" s="38">
        <v>371001</v>
      </c>
      <c r="I146" s="41" t="str">
        <f>IF(H146&lt;=0,"",VLOOKUP(H146,COG!A:H,2,0))</f>
        <v>Pasajes aéreos</v>
      </c>
      <c r="J146" s="39">
        <v>23998</v>
      </c>
      <c r="K146" s="39">
        <v>12113</v>
      </c>
      <c r="L146" s="39">
        <v>26854</v>
      </c>
      <c r="M146" s="39">
        <v>25163</v>
      </c>
      <c r="N146" s="1">
        <f>SUM(Tabla1[[#This Row],[TRIMESTRE  I]:[TRIMESTRE IV]])</f>
        <v>88128</v>
      </c>
      <c r="O146" s="39" t="s">
        <v>5</v>
      </c>
      <c r="P146" s="39" t="s">
        <v>472</v>
      </c>
      <c r="Q146" s="59" t="s">
        <v>470</v>
      </c>
    </row>
    <row r="147" spans="2:17" ht="22.5" x14ac:dyDescent="0.2">
      <c r="B147" s="34">
        <v>202</v>
      </c>
      <c r="C147" s="35" t="s">
        <v>467</v>
      </c>
      <c r="D147" s="36">
        <v>530</v>
      </c>
      <c r="E147" s="42" t="str">
        <f>IF(D147&lt;=0,"",VLOOKUP(D147,[1]FF!A:D,2,0))</f>
        <v>PARTICIPACIONES Ramo 28</v>
      </c>
      <c r="F147" s="37" t="s">
        <v>482</v>
      </c>
      <c r="G147" s="37" t="s">
        <v>458</v>
      </c>
      <c r="H147" s="38">
        <v>375001</v>
      </c>
      <c r="I147" s="41" t="str">
        <f>IF(H147&lt;=0,"",VLOOKUP(H147,COG!A:H,2,0))</f>
        <v>Viáticos</v>
      </c>
      <c r="J147" s="39">
        <v>59499</v>
      </c>
      <c r="K147" s="39">
        <v>59499</v>
      </c>
      <c r="L147" s="39">
        <v>59499</v>
      </c>
      <c r="M147" s="39">
        <v>59499</v>
      </c>
      <c r="N147" s="1">
        <f>SUM(Tabla1[[#This Row],[TRIMESTRE  I]:[TRIMESTRE IV]])</f>
        <v>237996</v>
      </c>
      <c r="O147" s="39" t="s">
        <v>6</v>
      </c>
      <c r="P147" s="79" t="s">
        <v>469</v>
      </c>
      <c r="Q147" s="59" t="s">
        <v>471</v>
      </c>
    </row>
    <row r="148" spans="2:17" ht="22.5" x14ac:dyDescent="0.2">
      <c r="B148" s="34">
        <v>202</v>
      </c>
      <c r="C148" s="35" t="s">
        <v>467</v>
      </c>
      <c r="D148" s="36">
        <v>530</v>
      </c>
      <c r="E148" s="42" t="str">
        <f>IF(D148&lt;=0,"",VLOOKUP(D148,[1]FF!A:D,2,0))</f>
        <v>PARTICIPACIONES Ramo 28</v>
      </c>
      <c r="F148" s="37" t="s">
        <v>482</v>
      </c>
      <c r="G148" s="37" t="s">
        <v>458</v>
      </c>
      <c r="H148" s="38">
        <v>382002</v>
      </c>
      <c r="I148" s="41" t="str">
        <f>IF(H148&lt;=0,"",VLOOKUP(H148,COG!A:H,2,0))</f>
        <v>Gastos de recepción, conmemorativos y de orden social</v>
      </c>
      <c r="J148" s="39">
        <v>87699</v>
      </c>
      <c r="K148" s="39">
        <v>87640</v>
      </c>
      <c r="L148" s="39">
        <v>86929</v>
      </c>
      <c r="M148" s="39">
        <v>86931</v>
      </c>
      <c r="N148" s="1">
        <f>SUM(Tabla1[[#This Row],[TRIMESTRE  I]:[TRIMESTRE IV]])</f>
        <v>349199</v>
      </c>
      <c r="O148" s="39" t="s">
        <v>6</v>
      </c>
      <c r="P148" s="79" t="s">
        <v>469</v>
      </c>
      <c r="Q148" s="59" t="s">
        <v>471</v>
      </c>
    </row>
    <row r="149" spans="2:17" x14ac:dyDescent="0.2">
      <c r="B149" s="91"/>
      <c r="C149" s="91"/>
      <c r="D149" s="91"/>
      <c r="E149" s="92"/>
      <c r="F149" s="93"/>
      <c r="G149" s="93"/>
      <c r="H149" s="91"/>
      <c r="I149" s="60" t="s">
        <v>456</v>
      </c>
      <c r="J149" s="61"/>
      <c r="K149" s="61"/>
      <c r="L149" s="61"/>
      <c r="M149" s="61"/>
      <c r="N149" s="94">
        <f>SUBTOTAL(109,Tabla1[[PRESUPUESTO ANUAL AUTORIZADO ]])</f>
        <v>48335674</v>
      </c>
      <c r="O149" s="95"/>
      <c r="P149" s="95"/>
      <c r="Q149" s="96"/>
    </row>
    <row r="150" spans="2:17" x14ac:dyDescent="0.2">
      <c r="B150" s="46"/>
      <c r="C150" s="47"/>
      <c r="D150" s="48"/>
      <c r="E150" s="43" t="str">
        <f>IF(D150&lt;=0,"",VLOOKUP(D150,[1]FF!A:D,2,0))</f>
        <v/>
      </c>
      <c r="F150" s="86"/>
      <c r="G150" s="86"/>
      <c r="H150" s="49"/>
      <c r="I150" s="44" t="str">
        <f>IF(H150&lt;=0,"",VLOOKUP(H150,COG!A:H,2,0))</f>
        <v/>
      </c>
      <c r="J150" s="50"/>
      <c r="K150" s="50"/>
      <c r="L150" s="50"/>
      <c r="M150" s="50"/>
      <c r="N150" s="45"/>
      <c r="O150" s="39"/>
      <c r="P150" s="39"/>
      <c r="Q150" s="59"/>
    </row>
    <row r="151" spans="2:17" ht="23.25" x14ac:dyDescent="0.2">
      <c r="B151" s="111" t="s">
        <v>4</v>
      </c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</row>
    <row r="152" spans="2:17" ht="23.25" x14ac:dyDescent="0.2">
      <c r="B152" s="109" t="s">
        <v>740</v>
      </c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</row>
    <row r="153" spans="2:17" ht="23.25" x14ac:dyDescent="0.2">
      <c r="B153" s="110" t="s">
        <v>466</v>
      </c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</row>
    <row r="154" spans="2:17" s="90" customFormat="1" ht="45" x14ac:dyDescent="0.2">
      <c r="B154" s="5" t="s">
        <v>9</v>
      </c>
      <c r="C154" s="5" t="s">
        <v>10</v>
      </c>
      <c r="D154" s="5" t="s">
        <v>1</v>
      </c>
      <c r="E154" s="5" t="s">
        <v>0</v>
      </c>
      <c r="F154" s="78" t="s">
        <v>17</v>
      </c>
      <c r="G154" s="5" t="s">
        <v>2</v>
      </c>
      <c r="H154" s="5" t="s">
        <v>11</v>
      </c>
      <c r="I154" s="5" t="s">
        <v>16</v>
      </c>
      <c r="J154" s="5" t="s">
        <v>465</v>
      </c>
      <c r="K154" s="5" t="s">
        <v>462</v>
      </c>
      <c r="L154" s="5" t="s">
        <v>463</v>
      </c>
      <c r="M154" s="5" t="s">
        <v>464</v>
      </c>
      <c r="N154" s="5" t="s">
        <v>12</v>
      </c>
      <c r="O154" s="5" t="s">
        <v>3</v>
      </c>
      <c r="P154" s="5" t="s">
        <v>13</v>
      </c>
      <c r="Q154" s="5" t="s">
        <v>8</v>
      </c>
    </row>
    <row r="155" spans="2:17" ht="22.5" x14ac:dyDescent="0.2">
      <c r="B155" s="34">
        <v>401</v>
      </c>
      <c r="C155" s="35" t="s">
        <v>484</v>
      </c>
      <c r="D155" s="36">
        <v>530</v>
      </c>
      <c r="E155" s="42" t="str">
        <f>IF(D155&lt;=0,"",VLOOKUP(D155,[1]FF!A:D,2,0))</f>
        <v>PARTICIPACIONES Ramo 28</v>
      </c>
      <c r="F155" s="37" t="s">
        <v>485</v>
      </c>
      <c r="G155" s="37" t="s">
        <v>461</v>
      </c>
      <c r="H155" s="38">
        <v>211001</v>
      </c>
      <c r="I155" s="41" t="str">
        <f>IF(H155&lt;=0,"",VLOOKUP(H155,[2]COG!A:H,2,0))</f>
        <v>Material de oficina</v>
      </c>
      <c r="J155" s="39">
        <v>25000</v>
      </c>
      <c r="K155" s="39">
        <v>25000</v>
      </c>
      <c r="L155" s="39">
        <v>25000</v>
      </c>
      <c r="M155" s="39">
        <v>25000</v>
      </c>
      <c r="N155" s="1">
        <f>Tabla2[[#This Row],[TRIMESTRE  I]]+Tabla2[[#This Row],[TRIMESTRE II]]+Tabla2[[#This Row],[TRIMESTRE III]]+Tabla2[[#This Row],[TRIMESTRE IV]]</f>
        <v>100000</v>
      </c>
      <c r="O155" s="39" t="s">
        <v>5</v>
      </c>
      <c r="P155" s="79">
        <v>45292</v>
      </c>
      <c r="Q155" s="59" t="s">
        <v>486</v>
      </c>
    </row>
    <row r="156" spans="2:17" ht="22.5" x14ac:dyDescent="0.2">
      <c r="B156" s="34">
        <v>401</v>
      </c>
      <c r="C156" s="35" t="s">
        <v>484</v>
      </c>
      <c r="D156" s="36">
        <v>530</v>
      </c>
      <c r="E156" s="42" t="str">
        <f>IF(D156&lt;=0,"",VLOOKUP(D156,[1]FF!A:D,2,0))</f>
        <v>PARTICIPACIONES Ramo 28</v>
      </c>
      <c r="F156" s="37" t="s">
        <v>487</v>
      </c>
      <c r="G156" s="37" t="s">
        <v>461</v>
      </c>
      <c r="H156" s="38">
        <v>211001</v>
      </c>
      <c r="I156" s="41" t="str">
        <f>IF(H156&lt;=0,"",VLOOKUP(H156,[2]COG!A:H,2,0))</f>
        <v>Material de oficina</v>
      </c>
      <c r="J156" s="39">
        <v>15715</v>
      </c>
      <c r="K156" s="39">
        <v>15715</v>
      </c>
      <c r="L156" s="39">
        <v>15715</v>
      </c>
      <c r="M156" s="39">
        <v>15715</v>
      </c>
      <c r="N156" s="1">
        <f>Tabla2[[#This Row],[TRIMESTRE  I]]+Tabla2[[#This Row],[TRIMESTRE II]]+Tabla2[[#This Row],[TRIMESTRE III]]+Tabla2[[#This Row],[TRIMESTRE IV]]</f>
        <v>62860</v>
      </c>
      <c r="O156" s="39" t="s">
        <v>5</v>
      </c>
      <c r="P156" s="79">
        <v>45292</v>
      </c>
      <c r="Q156" s="59" t="s">
        <v>486</v>
      </c>
    </row>
    <row r="157" spans="2:17" ht="22.5" x14ac:dyDescent="0.2">
      <c r="B157" s="34">
        <v>402</v>
      </c>
      <c r="C157" s="35" t="s">
        <v>484</v>
      </c>
      <c r="D157" s="36">
        <v>530</v>
      </c>
      <c r="E157" s="42" t="str">
        <f>IF(D157&lt;=0,"",VLOOKUP(D157,[1]FF!A:D,2,0))</f>
        <v>PARTICIPACIONES Ramo 28</v>
      </c>
      <c r="F157" s="37" t="s">
        <v>488</v>
      </c>
      <c r="G157" s="37" t="s">
        <v>461</v>
      </c>
      <c r="H157" s="38">
        <v>211001</v>
      </c>
      <c r="I157" s="41" t="str">
        <f>IF(H157&lt;=0,"",VLOOKUP(H157,[2]COG!A:H,2,0))</f>
        <v>Material de oficina</v>
      </c>
      <c r="J157" s="39">
        <v>3348.75</v>
      </c>
      <c r="K157" s="39">
        <v>3348.75</v>
      </c>
      <c r="L157" s="39">
        <v>3348.75</v>
      </c>
      <c r="M157" s="39">
        <v>3348.75</v>
      </c>
      <c r="N157" s="1">
        <f>Tabla2[[#This Row],[TRIMESTRE  I]]+Tabla2[[#This Row],[TRIMESTRE II]]+Tabla2[[#This Row],[TRIMESTRE III]]+Tabla2[[#This Row],[TRIMESTRE IV]]</f>
        <v>13395</v>
      </c>
      <c r="O157" s="39" t="s">
        <v>5</v>
      </c>
      <c r="P157" s="79">
        <v>45292</v>
      </c>
      <c r="Q157" s="59" t="s">
        <v>486</v>
      </c>
    </row>
    <row r="158" spans="2:17" ht="22.5" x14ac:dyDescent="0.2">
      <c r="B158" s="34">
        <v>402</v>
      </c>
      <c r="C158" s="35" t="s">
        <v>484</v>
      </c>
      <c r="D158" s="36">
        <v>530</v>
      </c>
      <c r="E158" s="42" t="str">
        <f>IF(D158&lt;=0,"",VLOOKUP(D158,[1]FF!A:D,2,0))</f>
        <v>PARTICIPACIONES Ramo 28</v>
      </c>
      <c r="F158" s="37" t="s">
        <v>489</v>
      </c>
      <c r="G158" s="37" t="s">
        <v>461</v>
      </c>
      <c r="H158" s="38">
        <v>211001</v>
      </c>
      <c r="I158" s="41" t="str">
        <f>IF(H158&lt;=0,"",VLOOKUP(H158,[2]COG!A:H,2,0))</f>
        <v>Material de oficina</v>
      </c>
      <c r="J158" s="39">
        <v>3295</v>
      </c>
      <c r="K158" s="39">
        <v>3297</v>
      </c>
      <c r="L158" s="39">
        <v>3299</v>
      </c>
      <c r="M158" s="39">
        <v>3296</v>
      </c>
      <c r="N158" s="1">
        <f>Tabla2[[#This Row],[TRIMESTRE  I]]+Tabla2[[#This Row],[TRIMESTRE II]]+Tabla2[[#This Row],[TRIMESTRE III]]+Tabla2[[#This Row],[TRIMESTRE IV]]</f>
        <v>13187</v>
      </c>
      <c r="O158" s="39" t="s">
        <v>5</v>
      </c>
      <c r="P158" s="79">
        <v>45292</v>
      </c>
      <c r="Q158" s="59" t="s">
        <v>486</v>
      </c>
    </row>
    <row r="159" spans="2:17" x14ac:dyDescent="0.2">
      <c r="B159" s="34">
        <v>402</v>
      </c>
      <c r="C159" s="35" t="s">
        <v>484</v>
      </c>
      <c r="D159" s="36">
        <v>530</v>
      </c>
      <c r="E159" s="42" t="str">
        <f>IF(D159&lt;=0,"",VLOOKUP(D159,[1]FF!A:D,2,0))</f>
        <v>PARTICIPACIONES Ramo 28</v>
      </c>
      <c r="F159" s="37" t="s">
        <v>490</v>
      </c>
      <c r="G159" s="37" t="s">
        <v>461</v>
      </c>
      <c r="H159" s="38">
        <v>211001</v>
      </c>
      <c r="I159" s="41" t="str">
        <f>IF(H159&lt;=0,"",VLOOKUP(H159,[2]COG!A:H,2,0))</f>
        <v>Material de oficina</v>
      </c>
      <c r="J159" s="39">
        <v>5165</v>
      </c>
      <c r="K159" s="39">
        <v>5165</v>
      </c>
      <c r="L159" s="39">
        <v>5165</v>
      </c>
      <c r="M159" s="39">
        <v>5165</v>
      </c>
      <c r="N159" s="1">
        <f>Tabla2[[#This Row],[TRIMESTRE  I]]+Tabla2[[#This Row],[TRIMESTRE II]]+Tabla2[[#This Row],[TRIMESTRE III]]+Tabla2[[#This Row],[TRIMESTRE IV]]</f>
        <v>20660</v>
      </c>
      <c r="O159" s="39" t="s">
        <v>5</v>
      </c>
      <c r="P159" s="79">
        <v>45292</v>
      </c>
      <c r="Q159" s="59" t="s">
        <v>486</v>
      </c>
    </row>
    <row r="160" spans="2:17" ht="33.75" x14ac:dyDescent="0.2">
      <c r="B160" s="34">
        <v>419</v>
      </c>
      <c r="C160" s="35" t="s">
        <v>491</v>
      </c>
      <c r="D160" s="36">
        <v>530</v>
      </c>
      <c r="E160" s="42" t="str">
        <f>IF(D160&lt;=0,"",VLOOKUP(D160,[1]FF!A:D,2,0))</f>
        <v>PARTICIPACIONES Ramo 28</v>
      </c>
      <c r="F160" s="37" t="s">
        <v>492</v>
      </c>
      <c r="G160" s="37" t="s">
        <v>461</v>
      </c>
      <c r="H160" s="38">
        <v>211001</v>
      </c>
      <c r="I160" s="41" t="str">
        <f>IF(H160&lt;=0,"",VLOOKUP(H160,[2]COG!A:H,2,0))</f>
        <v>Material de oficina</v>
      </c>
      <c r="J160" s="39">
        <v>7225</v>
      </c>
      <c r="K160" s="39">
        <v>7225</v>
      </c>
      <c r="L160" s="39">
        <v>7225</v>
      </c>
      <c r="M160" s="39">
        <v>7225</v>
      </c>
      <c r="N160" s="1">
        <f>Tabla2[[#This Row],[TRIMESTRE  I]]+Tabla2[[#This Row],[TRIMESTRE II]]+Tabla2[[#This Row],[TRIMESTRE III]]+Tabla2[[#This Row],[TRIMESTRE IV]]</f>
        <v>28900</v>
      </c>
      <c r="O160" s="39" t="s">
        <v>5</v>
      </c>
      <c r="P160" s="79">
        <v>45292</v>
      </c>
      <c r="Q160" s="59" t="s">
        <v>486</v>
      </c>
    </row>
    <row r="161" spans="2:17" ht="22.5" x14ac:dyDescent="0.2">
      <c r="B161" s="34">
        <v>434</v>
      </c>
      <c r="C161" s="35" t="s">
        <v>493</v>
      </c>
      <c r="D161" s="36">
        <v>530</v>
      </c>
      <c r="E161" s="42" t="str">
        <f>IF(D161&lt;=0,"",VLOOKUP(D161,[1]FF!A:D,2,0))</f>
        <v>PARTICIPACIONES Ramo 28</v>
      </c>
      <c r="F161" s="37" t="s">
        <v>494</v>
      </c>
      <c r="G161" s="37" t="s">
        <v>461</v>
      </c>
      <c r="H161" s="38">
        <v>211001</v>
      </c>
      <c r="I161" s="41" t="str">
        <f>IF(H161&lt;=0,"",VLOOKUP(H161,[2]COG!A:H,2,0))</f>
        <v>Material de oficina</v>
      </c>
      <c r="J161" s="39">
        <v>4895</v>
      </c>
      <c r="K161" s="39">
        <v>4895</v>
      </c>
      <c r="L161" s="39">
        <v>4895</v>
      </c>
      <c r="M161" s="39">
        <v>4895</v>
      </c>
      <c r="N161" s="1">
        <f>Tabla2[[#This Row],[TRIMESTRE  I]]+Tabla2[[#This Row],[TRIMESTRE II]]+Tabla2[[#This Row],[TRIMESTRE III]]+Tabla2[[#This Row],[TRIMESTRE IV]]</f>
        <v>19580</v>
      </c>
      <c r="O161" s="39" t="s">
        <v>5</v>
      </c>
      <c r="P161" s="79">
        <v>45292</v>
      </c>
      <c r="Q161" s="59" t="s">
        <v>486</v>
      </c>
    </row>
    <row r="162" spans="2:17" ht="22.5" x14ac:dyDescent="0.2">
      <c r="B162" s="34">
        <v>435</v>
      </c>
      <c r="C162" s="35" t="s">
        <v>484</v>
      </c>
      <c r="D162" s="36">
        <v>530</v>
      </c>
      <c r="E162" s="42" t="str">
        <f>IF(D162&lt;=0,"",VLOOKUP(D162,[1]FF!A:D,2,0))</f>
        <v>PARTICIPACIONES Ramo 28</v>
      </c>
      <c r="F162" s="37" t="s">
        <v>495</v>
      </c>
      <c r="G162" s="37" t="s">
        <v>461</v>
      </c>
      <c r="H162" s="38">
        <v>211001</v>
      </c>
      <c r="I162" s="41" t="str">
        <f>IF(H162&lt;=0,"",VLOOKUP(H162,[2]COG!A:H,2,0))</f>
        <v>Material de oficina</v>
      </c>
      <c r="J162" s="39">
        <v>7801</v>
      </c>
      <c r="K162" s="39">
        <v>7828</v>
      </c>
      <c r="L162" s="39">
        <v>7805</v>
      </c>
      <c r="M162" s="39">
        <v>7800</v>
      </c>
      <c r="N162" s="1">
        <f>Tabla2[[#This Row],[TRIMESTRE  I]]+Tabla2[[#This Row],[TRIMESTRE II]]+Tabla2[[#This Row],[TRIMESTRE III]]+Tabla2[[#This Row],[TRIMESTRE IV]]</f>
        <v>31234</v>
      </c>
      <c r="O162" s="39" t="s">
        <v>5</v>
      </c>
      <c r="P162" s="79">
        <v>45292</v>
      </c>
      <c r="Q162" s="59" t="s">
        <v>486</v>
      </c>
    </row>
    <row r="163" spans="2:17" ht="22.5" x14ac:dyDescent="0.2">
      <c r="B163" s="34">
        <v>401</v>
      </c>
      <c r="C163" s="35" t="s">
        <v>484</v>
      </c>
      <c r="D163" s="36">
        <v>530</v>
      </c>
      <c r="E163" s="42" t="str">
        <f>IF(D163&lt;=0,"",VLOOKUP(D163,[1]FF!A:D,2,0))</f>
        <v>PARTICIPACIONES Ramo 28</v>
      </c>
      <c r="F163" s="37" t="s">
        <v>496</v>
      </c>
      <c r="G163" s="37" t="s">
        <v>461</v>
      </c>
      <c r="H163" s="38">
        <v>212001</v>
      </c>
      <c r="I163" s="41" t="str">
        <f>IF(H163&lt;=0,"",VLOOKUP(H163,[2]COG!A:H,2,0))</f>
        <v>Material y útiles de impresión</v>
      </c>
      <c r="J163" s="39">
        <v>68000</v>
      </c>
      <c r="K163" s="39">
        <v>0</v>
      </c>
      <c r="L163" s="39">
        <v>0</v>
      </c>
      <c r="M163" s="39">
        <v>0</v>
      </c>
      <c r="N163" s="1">
        <f>Tabla2[[#This Row],[TRIMESTRE  I]]+Tabla2[[#This Row],[TRIMESTRE II]]+Tabla2[[#This Row],[TRIMESTRE III]]+Tabla2[[#This Row],[TRIMESTRE IV]]</f>
        <v>68000</v>
      </c>
      <c r="O163" s="39" t="s">
        <v>6</v>
      </c>
      <c r="P163" s="79">
        <v>45323</v>
      </c>
      <c r="Q163" s="59" t="s">
        <v>497</v>
      </c>
    </row>
    <row r="164" spans="2:17" ht="22.5" x14ac:dyDescent="0.2">
      <c r="B164" s="34">
        <v>401</v>
      </c>
      <c r="C164" s="35" t="s">
        <v>484</v>
      </c>
      <c r="D164" s="36">
        <v>530</v>
      </c>
      <c r="E164" s="42" t="str">
        <f>IF(D164&lt;=0,"",VLOOKUP(D164,[1]FF!A:D,2,0))</f>
        <v>PARTICIPACIONES Ramo 28</v>
      </c>
      <c r="F164" s="37" t="s">
        <v>487</v>
      </c>
      <c r="G164" s="37" t="s">
        <v>461</v>
      </c>
      <c r="H164" s="38">
        <v>212001</v>
      </c>
      <c r="I164" s="41" t="str">
        <f>IF(H164&lt;=0,"",VLOOKUP(H164,[2]COG!A:H,2,0))</f>
        <v>Material y útiles de impresión</v>
      </c>
      <c r="J164" s="39">
        <v>47770</v>
      </c>
      <c r="K164" s="39">
        <v>0</v>
      </c>
      <c r="L164" s="39">
        <v>0</v>
      </c>
      <c r="M164" s="39">
        <v>0</v>
      </c>
      <c r="N164" s="1">
        <f>Tabla2[[#This Row],[TRIMESTRE  I]]+Tabla2[[#This Row],[TRIMESTRE II]]+Tabla2[[#This Row],[TRIMESTRE III]]+Tabla2[[#This Row],[TRIMESTRE IV]]</f>
        <v>47770</v>
      </c>
      <c r="O164" s="39" t="s">
        <v>6</v>
      </c>
      <c r="P164" s="79" t="s">
        <v>498</v>
      </c>
      <c r="Q164" s="59" t="s">
        <v>497</v>
      </c>
    </row>
    <row r="165" spans="2:17" ht="22.5" x14ac:dyDescent="0.2">
      <c r="B165" s="34">
        <v>402</v>
      </c>
      <c r="C165" s="35" t="s">
        <v>484</v>
      </c>
      <c r="D165" s="36">
        <v>530</v>
      </c>
      <c r="E165" s="42" t="str">
        <f>IF(D165&lt;=0,"",VLOOKUP(D165,[1]FF!A:D,2,0))</f>
        <v>PARTICIPACIONES Ramo 28</v>
      </c>
      <c r="F165" s="37" t="s">
        <v>499</v>
      </c>
      <c r="G165" s="37" t="s">
        <v>461</v>
      </c>
      <c r="H165" s="38">
        <v>212001</v>
      </c>
      <c r="I165" s="41" t="str">
        <f>IF(H165&lt;=0,"",VLOOKUP(H165,[2]COG!A:H,2,0))</f>
        <v>Material y útiles de impresión</v>
      </c>
      <c r="J165" s="39">
        <v>10200</v>
      </c>
      <c r="K165" s="39">
        <v>0</v>
      </c>
      <c r="L165" s="39">
        <v>0</v>
      </c>
      <c r="M165" s="39">
        <v>0</v>
      </c>
      <c r="N165" s="1">
        <f>Tabla2[[#This Row],[TRIMESTRE  I]]+Tabla2[[#This Row],[TRIMESTRE II]]+Tabla2[[#This Row],[TRIMESTRE III]]+Tabla2[[#This Row],[TRIMESTRE IV]]</f>
        <v>10200</v>
      </c>
      <c r="O165" s="39" t="s">
        <v>6</v>
      </c>
      <c r="P165" s="79" t="s">
        <v>498</v>
      </c>
      <c r="Q165" s="59" t="s">
        <v>497</v>
      </c>
    </row>
    <row r="166" spans="2:17" ht="22.5" x14ac:dyDescent="0.2">
      <c r="B166" s="34">
        <v>402</v>
      </c>
      <c r="C166" s="35" t="s">
        <v>484</v>
      </c>
      <c r="D166" s="36">
        <v>530</v>
      </c>
      <c r="E166" s="42" t="str">
        <f>IF(D166&lt;=0,"",VLOOKUP(D166,[1]FF!A:D,2,0))</f>
        <v>PARTICIPACIONES Ramo 28</v>
      </c>
      <c r="F166" s="37" t="s">
        <v>490</v>
      </c>
      <c r="G166" s="37" t="s">
        <v>461</v>
      </c>
      <c r="H166" s="38">
        <v>212001</v>
      </c>
      <c r="I166" s="41" t="str">
        <f>IF(H166&lt;=0,"",VLOOKUP(H166,[2]COG!A:H,2,0))</f>
        <v>Material y útiles de impresión</v>
      </c>
      <c r="J166" s="39">
        <v>10282</v>
      </c>
      <c r="K166" s="39">
        <v>0</v>
      </c>
      <c r="L166" s="39">
        <v>0</v>
      </c>
      <c r="M166" s="39">
        <v>0</v>
      </c>
      <c r="N166" s="1">
        <f>Tabla2[[#This Row],[TRIMESTRE  I]]+Tabla2[[#This Row],[TRIMESTRE II]]+Tabla2[[#This Row],[TRIMESTRE III]]+Tabla2[[#This Row],[TRIMESTRE IV]]</f>
        <v>10282</v>
      </c>
      <c r="O166" s="39" t="s">
        <v>6</v>
      </c>
      <c r="P166" s="79">
        <v>45323</v>
      </c>
      <c r="Q166" s="59" t="s">
        <v>497</v>
      </c>
    </row>
    <row r="167" spans="2:17" ht="33.75" x14ac:dyDescent="0.2">
      <c r="B167" s="34">
        <v>419</v>
      </c>
      <c r="C167" s="35" t="s">
        <v>491</v>
      </c>
      <c r="D167" s="36">
        <v>530</v>
      </c>
      <c r="E167" s="42" t="str">
        <f>IF(D167&lt;=0,"",VLOOKUP(D167,[1]FF!A:D,2,0))</f>
        <v>PARTICIPACIONES Ramo 28</v>
      </c>
      <c r="F167" s="37" t="s">
        <v>492</v>
      </c>
      <c r="G167" s="37" t="s">
        <v>461</v>
      </c>
      <c r="H167" s="38">
        <v>212001</v>
      </c>
      <c r="I167" s="41" t="str">
        <f>IF(H167&lt;=0,"",VLOOKUP(H167,[2]COG!A:H,2,0))</f>
        <v>Material y útiles de impresión</v>
      </c>
      <c r="J167" s="39">
        <v>27200</v>
      </c>
      <c r="K167" s="39">
        <v>0</v>
      </c>
      <c r="L167" s="39">
        <v>0</v>
      </c>
      <c r="M167" s="39">
        <v>0</v>
      </c>
      <c r="N167" s="1">
        <f>Tabla2[[#This Row],[TRIMESTRE  I]]+Tabla2[[#This Row],[TRIMESTRE II]]+Tabla2[[#This Row],[TRIMESTRE III]]+Tabla2[[#This Row],[TRIMESTRE IV]]</f>
        <v>27200</v>
      </c>
      <c r="O167" s="39" t="s">
        <v>6</v>
      </c>
      <c r="P167" s="79" t="s">
        <v>498</v>
      </c>
      <c r="Q167" s="59" t="s">
        <v>497</v>
      </c>
    </row>
    <row r="168" spans="2:17" ht="22.5" x14ac:dyDescent="0.2">
      <c r="B168" s="34">
        <v>434</v>
      </c>
      <c r="C168" s="35" t="s">
        <v>493</v>
      </c>
      <c r="D168" s="36">
        <v>530</v>
      </c>
      <c r="E168" s="42" t="str">
        <f>IF(D168&lt;=0,"",VLOOKUP(D168,[1]FF!A:D,2,0))</f>
        <v>PARTICIPACIONES Ramo 28</v>
      </c>
      <c r="F168" s="37" t="s">
        <v>494</v>
      </c>
      <c r="G168" s="37" t="s">
        <v>461</v>
      </c>
      <c r="H168" s="38">
        <v>212001</v>
      </c>
      <c r="I168" s="41" t="str">
        <f>IF(H168&lt;=0,"",VLOOKUP(H168,[2]COG!A:H,2,0))</f>
        <v>Material y útiles de impresión</v>
      </c>
      <c r="J168" s="39">
        <v>17000</v>
      </c>
      <c r="K168" s="39">
        <v>0</v>
      </c>
      <c r="L168" s="39">
        <v>0</v>
      </c>
      <c r="M168" s="39">
        <v>0</v>
      </c>
      <c r="N168" s="1">
        <f>Tabla2[[#This Row],[TRIMESTRE  I]]+Tabla2[[#This Row],[TRIMESTRE II]]+Tabla2[[#This Row],[TRIMESTRE III]]+Tabla2[[#This Row],[TRIMESTRE IV]]</f>
        <v>17000</v>
      </c>
      <c r="O168" s="39" t="s">
        <v>6</v>
      </c>
      <c r="P168" s="79" t="s">
        <v>498</v>
      </c>
      <c r="Q168" s="59" t="s">
        <v>497</v>
      </c>
    </row>
    <row r="169" spans="2:17" ht="22.5" x14ac:dyDescent="0.2">
      <c r="B169" s="34">
        <v>435</v>
      </c>
      <c r="C169" s="35" t="s">
        <v>484</v>
      </c>
      <c r="D169" s="36">
        <v>530</v>
      </c>
      <c r="E169" s="42" t="str">
        <f>IF(D169&lt;=0,"",VLOOKUP(D169,[1]FF!A:D,2,0))</f>
        <v>PARTICIPACIONES Ramo 28</v>
      </c>
      <c r="F169" s="37" t="s">
        <v>495</v>
      </c>
      <c r="G169" s="37" t="s">
        <v>461</v>
      </c>
      <c r="H169" s="38">
        <v>212001</v>
      </c>
      <c r="I169" s="41" t="str">
        <f>IF(H169&lt;=0,"",VLOOKUP(H169,[2]COG!A:H,2,0))</f>
        <v>Material y útiles de impresión</v>
      </c>
      <c r="J169" s="39">
        <v>22865</v>
      </c>
      <c r="K169" s="39">
        <v>0</v>
      </c>
      <c r="L169" s="39">
        <v>0</v>
      </c>
      <c r="M169" s="39">
        <v>0</v>
      </c>
      <c r="N169" s="1">
        <f>Tabla2[[#This Row],[TRIMESTRE  I]]+Tabla2[[#This Row],[TRIMESTRE II]]+Tabla2[[#This Row],[TRIMESTRE III]]+Tabla2[[#This Row],[TRIMESTRE IV]]</f>
        <v>22865</v>
      </c>
      <c r="O169" s="39" t="s">
        <v>6</v>
      </c>
      <c r="P169" s="79" t="s">
        <v>498</v>
      </c>
      <c r="Q169" s="59" t="s">
        <v>497</v>
      </c>
    </row>
    <row r="170" spans="2:17" ht="22.5" x14ac:dyDescent="0.2">
      <c r="B170" s="34">
        <v>401</v>
      </c>
      <c r="C170" s="35" t="s">
        <v>484</v>
      </c>
      <c r="D170" s="36">
        <v>530</v>
      </c>
      <c r="E170" s="42" t="str">
        <f>IF(D170&lt;=0,"",VLOOKUP(D170,[1]FF!A:D,2,0))</f>
        <v>PARTICIPACIONES Ramo 28</v>
      </c>
      <c r="F170" s="37" t="s">
        <v>496</v>
      </c>
      <c r="G170" s="37" t="s">
        <v>461</v>
      </c>
      <c r="H170" s="38">
        <v>216001</v>
      </c>
      <c r="I170" s="41" t="str">
        <f>IF(H170&lt;=0,"",VLOOKUP(H170,[2]COG!A:H,2,0))</f>
        <v>Material de limpieza</v>
      </c>
      <c r="J170" s="50">
        <v>15796</v>
      </c>
      <c r="K170" s="50">
        <v>15794</v>
      </c>
      <c r="L170" s="50">
        <v>15794</v>
      </c>
      <c r="M170" s="50">
        <v>15794</v>
      </c>
      <c r="N170" s="1">
        <f>Tabla2[[#This Row],[TRIMESTRE  I]]+Tabla2[[#This Row],[TRIMESTRE II]]+Tabla2[[#This Row],[TRIMESTRE III]]+Tabla2[[#This Row],[TRIMESTRE IV]]</f>
        <v>63178</v>
      </c>
      <c r="O170" s="39" t="s">
        <v>5</v>
      </c>
      <c r="P170" s="39" t="s">
        <v>500</v>
      </c>
      <c r="Q170" s="59" t="s">
        <v>486</v>
      </c>
    </row>
    <row r="171" spans="2:17" ht="22.5" x14ac:dyDescent="0.2">
      <c r="B171" s="34">
        <v>401</v>
      </c>
      <c r="C171" s="35" t="s">
        <v>484</v>
      </c>
      <c r="D171" s="36">
        <v>530</v>
      </c>
      <c r="E171" s="42" t="str">
        <f>IF(D171&lt;=0,"",VLOOKUP(D171,[1]FF!A:D,2,0))</f>
        <v>PARTICIPACIONES Ramo 28</v>
      </c>
      <c r="F171" s="37" t="s">
        <v>487</v>
      </c>
      <c r="G171" s="37" t="s">
        <v>461</v>
      </c>
      <c r="H171" s="38">
        <v>216001</v>
      </c>
      <c r="I171" s="41" t="str">
        <f>IF(H171&lt;=0,"",VLOOKUP(H171,[2]COG!A:H,2,0))</f>
        <v>Material de limpieza</v>
      </c>
      <c r="J171" s="50">
        <v>3382</v>
      </c>
      <c r="K171" s="50">
        <v>3380</v>
      </c>
      <c r="L171" s="50">
        <v>3380</v>
      </c>
      <c r="M171" s="50">
        <v>3380</v>
      </c>
      <c r="N171" s="1">
        <f>Tabla2[[#This Row],[TRIMESTRE  I]]+Tabla2[[#This Row],[TRIMESTRE II]]+Tabla2[[#This Row],[TRIMESTRE III]]+Tabla2[[#This Row],[TRIMESTRE IV]]</f>
        <v>13522</v>
      </c>
      <c r="O171" s="39" t="s">
        <v>5</v>
      </c>
      <c r="P171" s="39" t="s">
        <v>500</v>
      </c>
      <c r="Q171" s="59" t="s">
        <v>486</v>
      </c>
    </row>
    <row r="172" spans="2:17" ht="22.5" x14ac:dyDescent="0.2">
      <c r="B172" s="34">
        <v>402</v>
      </c>
      <c r="C172" s="35" t="s">
        <v>484</v>
      </c>
      <c r="D172" s="36">
        <v>530</v>
      </c>
      <c r="E172" s="42" t="str">
        <f>IF(D172&lt;=0,"",VLOOKUP(D172,[1]FF!A:D,2,0))</f>
        <v>PARTICIPACIONES Ramo 28</v>
      </c>
      <c r="F172" s="37" t="s">
        <v>499</v>
      </c>
      <c r="G172" s="37" t="s">
        <v>461</v>
      </c>
      <c r="H172" s="38">
        <v>216001</v>
      </c>
      <c r="I172" s="41" t="str">
        <f>IF(H172&lt;=0,"",VLOOKUP(H172,[2]COG!A:H,2,0))</f>
        <v>Material de limpieza</v>
      </c>
      <c r="J172" s="50">
        <v>1005</v>
      </c>
      <c r="K172" s="50">
        <v>900</v>
      </c>
      <c r="L172" s="50">
        <v>900</v>
      </c>
      <c r="M172" s="50">
        <v>900</v>
      </c>
      <c r="N172" s="1">
        <f>Tabla2[[#This Row],[TRIMESTRE  I]]+Tabla2[[#This Row],[TRIMESTRE II]]+Tabla2[[#This Row],[TRIMESTRE III]]+Tabla2[[#This Row],[TRIMESTRE IV]]</f>
        <v>3705</v>
      </c>
      <c r="O172" s="39" t="s">
        <v>5</v>
      </c>
      <c r="P172" s="39" t="s">
        <v>500</v>
      </c>
      <c r="Q172" s="59" t="s">
        <v>486</v>
      </c>
    </row>
    <row r="173" spans="2:17" x14ac:dyDescent="0.2">
      <c r="B173" s="34">
        <v>402</v>
      </c>
      <c r="C173" s="35" t="s">
        <v>484</v>
      </c>
      <c r="D173" s="36">
        <v>530</v>
      </c>
      <c r="E173" s="42" t="str">
        <f>IF(D173&lt;=0,"",VLOOKUP(D173,[1]FF!A:D,2,0))</f>
        <v>PARTICIPACIONES Ramo 28</v>
      </c>
      <c r="F173" s="37" t="s">
        <v>490</v>
      </c>
      <c r="G173" s="37" t="s">
        <v>461</v>
      </c>
      <c r="H173" s="38">
        <v>216001</v>
      </c>
      <c r="I173" s="41" t="str">
        <f>IF(H173&lt;=0,"",VLOOKUP(H173,[2]COG!A:H,2,0))</f>
        <v>Material de limpieza</v>
      </c>
      <c r="J173" s="50">
        <v>1921</v>
      </c>
      <c r="K173" s="50">
        <v>1890</v>
      </c>
      <c r="L173" s="50">
        <v>1890</v>
      </c>
      <c r="M173" s="50">
        <v>1890</v>
      </c>
      <c r="N173" s="1">
        <f>Tabla2[[#This Row],[TRIMESTRE  I]]+Tabla2[[#This Row],[TRIMESTRE II]]+Tabla2[[#This Row],[TRIMESTRE III]]+Tabla2[[#This Row],[TRIMESTRE IV]]</f>
        <v>7591</v>
      </c>
      <c r="O173" s="39" t="s">
        <v>5</v>
      </c>
      <c r="P173" s="39" t="s">
        <v>500</v>
      </c>
      <c r="Q173" s="59" t="s">
        <v>486</v>
      </c>
    </row>
    <row r="174" spans="2:17" ht="33.75" x14ac:dyDescent="0.2">
      <c r="B174" s="34">
        <v>419</v>
      </c>
      <c r="C174" s="35" t="s">
        <v>491</v>
      </c>
      <c r="D174" s="36">
        <v>530</v>
      </c>
      <c r="E174" s="42" t="str">
        <f>IF(D174&lt;=0,"",VLOOKUP(D174,[1]FF!A:D,2,0))</f>
        <v>PARTICIPACIONES Ramo 28</v>
      </c>
      <c r="F174" s="37" t="s">
        <v>492</v>
      </c>
      <c r="G174" s="37" t="s">
        <v>461</v>
      </c>
      <c r="H174" s="38">
        <v>216001</v>
      </c>
      <c r="I174" s="41" t="str">
        <f>IF(H174&lt;=0,"",VLOOKUP(H174,[2]COG!A:H,2,0))</f>
        <v>Material de limpieza</v>
      </c>
      <c r="J174" s="50">
        <v>1900</v>
      </c>
      <c r="K174" s="50">
        <v>1788</v>
      </c>
      <c r="L174" s="50">
        <v>1387</v>
      </c>
      <c r="M174" s="50">
        <v>1555</v>
      </c>
      <c r="N174" s="1">
        <f>Tabla2[[#This Row],[TRIMESTRE  I]]+Tabla2[[#This Row],[TRIMESTRE II]]+Tabla2[[#This Row],[TRIMESTRE III]]+Tabla2[[#This Row],[TRIMESTRE IV]]</f>
        <v>6630</v>
      </c>
      <c r="O174" s="39" t="s">
        <v>5</v>
      </c>
      <c r="P174" s="39" t="s">
        <v>500</v>
      </c>
      <c r="Q174" s="59" t="s">
        <v>486</v>
      </c>
    </row>
    <row r="175" spans="2:17" ht="22.5" x14ac:dyDescent="0.2">
      <c r="B175" s="34">
        <v>434</v>
      </c>
      <c r="C175" s="35" t="s">
        <v>493</v>
      </c>
      <c r="D175" s="36">
        <v>530</v>
      </c>
      <c r="E175" s="42" t="str">
        <f>IF(D175&lt;=0,"",VLOOKUP(D175,[1]FF!A:D,2,0))</f>
        <v>PARTICIPACIONES Ramo 28</v>
      </c>
      <c r="F175" s="37" t="s">
        <v>494</v>
      </c>
      <c r="G175" s="37" t="s">
        <v>461</v>
      </c>
      <c r="H175" s="38">
        <v>216001</v>
      </c>
      <c r="I175" s="41" t="str">
        <f>IF(H175&lt;=0,"",VLOOKUP(H175,[2]COG!A:H,2,0))</f>
        <v>Material de limpieza</v>
      </c>
      <c r="J175" s="50">
        <v>432</v>
      </c>
      <c r="K175" s="50">
        <v>430</v>
      </c>
      <c r="L175" s="50">
        <v>430</v>
      </c>
      <c r="M175" s="50">
        <v>0</v>
      </c>
      <c r="N175" s="1">
        <f>Tabla2[[#This Row],[TRIMESTRE  I]]+Tabla2[[#This Row],[TRIMESTRE II]]+Tabla2[[#This Row],[TRIMESTRE III]]+Tabla2[[#This Row],[TRIMESTRE IV]]</f>
        <v>1292</v>
      </c>
      <c r="O175" s="39" t="s">
        <v>5</v>
      </c>
      <c r="P175" s="39" t="s">
        <v>500</v>
      </c>
      <c r="Q175" s="59" t="s">
        <v>486</v>
      </c>
    </row>
    <row r="176" spans="2:17" ht="22.5" x14ac:dyDescent="0.2">
      <c r="B176" s="34">
        <v>435</v>
      </c>
      <c r="C176" s="35" t="s">
        <v>484</v>
      </c>
      <c r="D176" s="36">
        <v>530</v>
      </c>
      <c r="E176" s="42" t="str">
        <f>IF(D176&lt;=0,"",VLOOKUP(D176,[1]FF!A:D,2,0))</f>
        <v>PARTICIPACIONES Ramo 28</v>
      </c>
      <c r="F176" s="37" t="s">
        <v>495</v>
      </c>
      <c r="G176" s="37" t="s">
        <v>461</v>
      </c>
      <c r="H176" s="38">
        <v>216001</v>
      </c>
      <c r="I176" s="41" t="str">
        <f>IF(H176&lt;=0,"",VLOOKUP(H176,[2]COG!A:H,2,0))</f>
        <v>Material de limpieza</v>
      </c>
      <c r="J176" s="50">
        <v>1174</v>
      </c>
      <c r="K176" s="50">
        <v>1174</v>
      </c>
      <c r="L176" s="50">
        <v>1174</v>
      </c>
      <c r="M176" s="50">
        <v>1174</v>
      </c>
      <c r="N176" s="1">
        <f>Tabla2[[#This Row],[TRIMESTRE  I]]+Tabla2[[#This Row],[TRIMESTRE II]]+Tabla2[[#This Row],[TRIMESTRE III]]+Tabla2[[#This Row],[TRIMESTRE IV]]</f>
        <v>4696</v>
      </c>
      <c r="O176" s="39" t="s">
        <v>5</v>
      </c>
      <c r="P176" s="39" t="s">
        <v>500</v>
      </c>
      <c r="Q176" s="59" t="s">
        <v>486</v>
      </c>
    </row>
    <row r="177" spans="2:17" ht="22.5" x14ac:dyDescent="0.2">
      <c r="B177" s="34">
        <v>401</v>
      </c>
      <c r="C177" s="35" t="s">
        <v>484</v>
      </c>
      <c r="D177" s="36">
        <v>530</v>
      </c>
      <c r="E177" s="42" t="str">
        <f>IF(D177&lt;=0,"",VLOOKUP(D177,[1]FF!A:D,2,0))</f>
        <v>PARTICIPACIONES Ramo 28</v>
      </c>
      <c r="F177" s="37" t="s">
        <v>485</v>
      </c>
      <c r="G177" s="37" t="s">
        <v>461</v>
      </c>
      <c r="H177" s="49">
        <v>221001</v>
      </c>
      <c r="I177" s="44" t="str">
        <f>IF(H177&lt;=0,"",VLOOKUP(H177,[2]COG!A:H,2,0))</f>
        <v>Alimentación de personas</v>
      </c>
      <c r="J177" s="50">
        <v>54504</v>
      </c>
      <c r="K177" s="50">
        <v>54504</v>
      </c>
      <c r="L177" s="50">
        <v>54504</v>
      </c>
      <c r="M177" s="50">
        <v>54502</v>
      </c>
      <c r="N177" s="1">
        <f>Tabla2[[#This Row],[TRIMESTRE  I]]+Tabla2[[#This Row],[TRIMESTRE II]]+Tabla2[[#This Row],[TRIMESTRE III]]+Tabla2[[#This Row],[TRIMESTRE IV]]</f>
        <v>218014</v>
      </c>
      <c r="O177" s="39" t="s">
        <v>5</v>
      </c>
      <c r="P177" s="39" t="s">
        <v>500</v>
      </c>
      <c r="Q177" s="59" t="s">
        <v>486</v>
      </c>
    </row>
    <row r="178" spans="2:17" ht="22.5" x14ac:dyDescent="0.2">
      <c r="B178" s="34">
        <v>401</v>
      </c>
      <c r="C178" s="35" t="s">
        <v>484</v>
      </c>
      <c r="D178" s="36">
        <v>530</v>
      </c>
      <c r="E178" s="42" t="str">
        <f>IF(D178&lt;=0,"",VLOOKUP(D178,[1]FF!A:D,2,0))</f>
        <v>PARTICIPACIONES Ramo 28</v>
      </c>
      <c r="F178" s="37" t="s">
        <v>487</v>
      </c>
      <c r="G178" s="37" t="s">
        <v>461</v>
      </c>
      <c r="H178" s="49">
        <v>221001</v>
      </c>
      <c r="I178" s="44" t="str">
        <f>IF(H178&lt;=0,"",VLOOKUP(H178,[2]COG!A:H,2,0))</f>
        <v>Alimentación de personas</v>
      </c>
      <c r="J178" s="50">
        <v>37936</v>
      </c>
      <c r="K178" s="50">
        <v>37936</v>
      </c>
      <c r="L178" s="50">
        <v>37936</v>
      </c>
      <c r="M178" s="50">
        <v>37934</v>
      </c>
      <c r="N178" s="1">
        <f>Tabla2[[#This Row],[TRIMESTRE  I]]+Tabla2[[#This Row],[TRIMESTRE II]]+Tabla2[[#This Row],[TRIMESTRE III]]+Tabla2[[#This Row],[TRIMESTRE IV]]</f>
        <v>151742</v>
      </c>
      <c r="O178" s="39" t="s">
        <v>5</v>
      </c>
      <c r="P178" s="39" t="s">
        <v>500</v>
      </c>
      <c r="Q178" s="59" t="s">
        <v>486</v>
      </c>
    </row>
    <row r="179" spans="2:17" ht="22.5" x14ac:dyDescent="0.2">
      <c r="B179" s="34">
        <v>402</v>
      </c>
      <c r="C179" s="35" t="s">
        <v>484</v>
      </c>
      <c r="D179" s="36">
        <v>530</v>
      </c>
      <c r="E179" s="42" t="str">
        <f>IF(D179&lt;=0,"",VLOOKUP(D179,[1]FF!A:D,2,0))</f>
        <v>PARTICIPACIONES Ramo 28</v>
      </c>
      <c r="F179" s="37" t="s">
        <v>488</v>
      </c>
      <c r="G179" s="37" t="s">
        <v>461</v>
      </c>
      <c r="H179" s="49">
        <v>221001</v>
      </c>
      <c r="I179" s="44" t="str">
        <f>IF(H179&lt;=0,"",VLOOKUP(H179,[2]COG!A:H,2,0))</f>
        <v>Alimentación de personas</v>
      </c>
      <c r="J179" s="50">
        <v>22451</v>
      </c>
      <c r="K179" s="50">
        <v>22451</v>
      </c>
      <c r="L179" s="50">
        <v>22451</v>
      </c>
      <c r="M179" s="50">
        <v>22450</v>
      </c>
      <c r="N179" s="1">
        <f>Tabla2[[#This Row],[TRIMESTRE  I]]+Tabla2[[#This Row],[TRIMESTRE II]]+Tabla2[[#This Row],[TRIMESTRE III]]+Tabla2[[#This Row],[TRIMESTRE IV]]</f>
        <v>89803</v>
      </c>
      <c r="O179" s="39" t="s">
        <v>5</v>
      </c>
      <c r="P179" s="39" t="s">
        <v>500</v>
      </c>
      <c r="Q179" s="59" t="s">
        <v>486</v>
      </c>
    </row>
    <row r="180" spans="2:17" ht="22.5" x14ac:dyDescent="0.2">
      <c r="B180" s="34">
        <v>402</v>
      </c>
      <c r="C180" s="35" t="s">
        <v>484</v>
      </c>
      <c r="D180" s="36">
        <v>530</v>
      </c>
      <c r="E180" s="42" t="str">
        <f>IF(D180&lt;=0,"",VLOOKUP(D180,[1]FF!A:D,2,0))</f>
        <v>PARTICIPACIONES Ramo 28</v>
      </c>
      <c r="F180" s="37" t="s">
        <v>489</v>
      </c>
      <c r="G180" s="37" t="s">
        <v>461</v>
      </c>
      <c r="H180" s="49">
        <v>221001</v>
      </c>
      <c r="I180" s="44" t="str">
        <f>IF(H180&lt;=0,"",VLOOKUP(H180,[2]COG!A:H,2,0))</f>
        <v>Alimentación de personas</v>
      </c>
      <c r="J180" s="50">
        <v>3721</v>
      </c>
      <c r="K180" s="50">
        <v>3718</v>
      </c>
      <c r="L180" s="50">
        <v>3718</v>
      </c>
      <c r="M180" s="50">
        <v>3718</v>
      </c>
      <c r="N180" s="1">
        <f>Tabla2[[#This Row],[TRIMESTRE  I]]+Tabla2[[#This Row],[TRIMESTRE II]]+Tabla2[[#This Row],[TRIMESTRE III]]+Tabla2[[#This Row],[TRIMESTRE IV]]</f>
        <v>14875</v>
      </c>
      <c r="O180" s="39" t="s">
        <v>5</v>
      </c>
      <c r="P180" s="39" t="s">
        <v>500</v>
      </c>
      <c r="Q180" s="59" t="s">
        <v>486</v>
      </c>
    </row>
    <row r="181" spans="2:17" ht="22.5" x14ac:dyDescent="0.2">
      <c r="B181" s="34">
        <v>434</v>
      </c>
      <c r="C181" s="35" t="s">
        <v>493</v>
      </c>
      <c r="D181" s="36">
        <v>530</v>
      </c>
      <c r="E181" s="42" t="str">
        <f>IF(D181&lt;=0,"",VLOOKUP(D181,[1]FF!A:D,2,0))</f>
        <v>PARTICIPACIONES Ramo 28</v>
      </c>
      <c r="F181" s="37" t="s">
        <v>494</v>
      </c>
      <c r="G181" s="37" t="s">
        <v>461</v>
      </c>
      <c r="H181" s="38">
        <v>221001</v>
      </c>
      <c r="I181" s="44" t="str">
        <f>IF(H181&lt;=0,"",VLOOKUP(H181,[2]COG!A:H,2,0))</f>
        <v>Alimentación de personas</v>
      </c>
      <c r="J181" s="50">
        <v>11414</v>
      </c>
      <c r="K181" s="50">
        <v>11414</v>
      </c>
      <c r="L181" s="50">
        <v>11414</v>
      </c>
      <c r="M181" s="50">
        <v>11412</v>
      </c>
      <c r="N181" s="1">
        <f>Tabla2[[#This Row],[TRIMESTRE  I]]+Tabla2[[#This Row],[TRIMESTRE II]]+Tabla2[[#This Row],[TRIMESTRE III]]+Tabla2[[#This Row],[TRIMESTRE IV]]</f>
        <v>45654</v>
      </c>
      <c r="O181" s="39" t="s">
        <v>5</v>
      </c>
      <c r="P181" s="39" t="s">
        <v>500</v>
      </c>
      <c r="Q181" s="59" t="s">
        <v>486</v>
      </c>
    </row>
    <row r="182" spans="2:17" ht="22.5" x14ac:dyDescent="0.2">
      <c r="B182" s="34">
        <v>435</v>
      </c>
      <c r="C182" s="35" t="s">
        <v>484</v>
      </c>
      <c r="D182" s="36">
        <v>530</v>
      </c>
      <c r="E182" s="42" t="str">
        <f>IF(D182&lt;=0,"",VLOOKUP(D182,[1]FF!A:D,2,0))</f>
        <v>PARTICIPACIONES Ramo 28</v>
      </c>
      <c r="F182" s="37" t="s">
        <v>495</v>
      </c>
      <c r="G182" s="37" t="s">
        <v>461</v>
      </c>
      <c r="H182" s="38">
        <v>221001</v>
      </c>
      <c r="I182" s="44" t="str">
        <f>IF(H182&lt;=0,"",VLOOKUP(H182,[2]COG!A:H,2,0))</f>
        <v>Alimentación de personas</v>
      </c>
      <c r="J182" s="50">
        <v>6689</v>
      </c>
      <c r="K182" s="50">
        <v>6689</v>
      </c>
      <c r="L182" s="50">
        <v>6689</v>
      </c>
      <c r="M182" s="50">
        <v>6687</v>
      </c>
      <c r="N182" s="1">
        <f>Tabla2[[#This Row],[TRIMESTRE  I]]+Tabla2[[#This Row],[TRIMESTRE II]]+Tabla2[[#This Row],[TRIMESTRE III]]+Tabla2[[#This Row],[TRIMESTRE IV]]</f>
        <v>26754</v>
      </c>
      <c r="O182" s="39" t="s">
        <v>5</v>
      </c>
      <c r="P182" s="39" t="s">
        <v>500</v>
      </c>
      <c r="Q182" s="59" t="s">
        <v>486</v>
      </c>
    </row>
    <row r="183" spans="2:17" ht="22.5" x14ac:dyDescent="0.2">
      <c r="B183" s="34">
        <v>401</v>
      </c>
      <c r="C183" s="35" t="s">
        <v>484</v>
      </c>
      <c r="D183" s="36">
        <v>530</v>
      </c>
      <c r="E183" s="42" t="str">
        <f>IF(D183&lt;=0,"",VLOOKUP(D183,[1]FF!A:D,2,0))</f>
        <v>PARTICIPACIONES Ramo 28</v>
      </c>
      <c r="F183" s="37" t="s">
        <v>496</v>
      </c>
      <c r="G183" s="37" t="s">
        <v>461</v>
      </c>
      <c r="H183" s="38">
        <v>261001</v>
      </c>
      <c r="I183" s="41" t="str">
        <f>IF(H183&lt;=0,"",VLOOKUP(H183,[2]COG!A:H,2,0))</f>
        <v>Combustibles</v>
      </c>
      <c r="J183" s="50">
        <v>180000</v>
      </c>
      <c r="K183" s="50">
        <v>180000</v>
      </c>
      <c r="L183" s="50">
        <v>180000</v>
      </c>
      <c r="M183" s="50">
        <v>69662</v>
      </c>
      <c r="N183" s="1">
        <f>Tabla2[[#This Row],[TRIMESTRE  I]]+Tabla2[[#This Row],[TRIMESTRE II]]+Tabla2[[#This Row],[TRIMESTRE III]]+Tabla2[[#This Row],[TRIMESTRE IV]]</f>
        <v>609662</v>
      </c>
      <c r="O183" s="39" t="s">
        <v>7</v>
      </c>
      <c r="P183" s="39" t="s">
        <v>500</v>
      </c>
      <c r="Q183" s="59" t="s">
        <v>501</v>
      </c>
    </row>
    <row r="184" spans="2:17" ht="22.5" x14ac:dyDescent="0.2">
      <c r="B184" s="34">
        <v>401</v>
      </c>
      <c r="C184" s="35" t="s">
        <v>484</v>
      </c>
      <c r="D184" s="36">
        <v>530</v>
      </c>
      <c r="E184" s="42" t="str">
        <f>IF(D184&lt;=0,"",VLOOKUP(D184,[1]FF!A:D,2,0))</f>
        <v>PARTICIPACIONES Ramo 28</v>
      </c>
      <c r="F184" s="37" t="s">
        <v>487</v>
      </c>
      <c r="G184" s="37" t="s">
        <v>461</v>
      </c>
      <c r="H184" s="38">
        <v>261001</v>
      </c>
      <c r="I184" s="41" t="str">
        <f>IF(H184&lt;=0,"",VLOOKUP(H184,[2]COG!A:H,2,0))</f>
        <v>Combustibles</v>
      </c>
      <c r="J184" s="50">
        <v>45000</v>
      </c>
      <c r="K184" s="50">
        <v>45000</v>
      </c>
      <c r="L184" s="50">
        <v>45000</v>
      </c>
      <c r="M184" s="50">
        <v>62766</v>
      </c>
      <c r="N184" s="1">
        <f>Tabla2[[#This Row],[TRIMESTRE  I]]+Tabla2[[#This Row],[TRIMESTRE II]]+Tabla2[[#This Row],[TRIMESTRE III]]+Tabla2[[#This Row],[TRIMESTRE IV]]</f>
        <v>197766</v>
      </c>
      <c r="O184" s="39" t="s">
        <v>7</v>
      </c>
      <c r="P184" s="39" t="s">
        <v>500</v>
      </c>
      <c r="Q184" s="59" t="s">
        <v>501</v>
      </c>
    </row>
    <row r="185" spans="2:17" ht="22.5" x14ac:dyDescent="0.2">
      <c r="B185" s="34">
        <v>402</v>
      </c>
      <c r="C185" s="35" t="s">
        <v>484</v>
      </c>
      <c r="D185" s="36">
        <v>530</v>
      </c>
      <c r="E185" s="42" t="str">
        <f>IF(D185&lt;=0,"",VLOOKUP(D185,[1]FF!A:D,2,0))</f>
        <v>PARTICIPACIONES Ramo 28</v>
      </c>
      <c r="F185" s="37" t="s">
        <v>502</v>
      </c>
      <c r="G185" s="37" t="s">
        <v>461</v>
      </c>
      <c r="H185" s="38">
        <v>261001</v>
      </c>
      <c r="I185" s="41" t="str">
        <f>IF(H185&lt;=0,"",VLOOKUP(H185,[2]COG!A:H,2,0))</f>
        <v>Combustibles</v>
      </c>
      <c r="J185" s="50">
        <v>55335</v>
      </c>
      <c r="K185" s="50">
        <v>55335</v>
      </c>
      <c r="L185" s="50">
        <v>55335</v>
      </c>
      <c r="M185" s="50">
        <v>55338</v>
      </c>
      <c r="N185" s="1">
        <f>Tabla2[[#This Row],[TRIMESTRE  I]]+Tabla2[[#This Row],[TRIMESTRE II]]+Tabla2[[#This Row],[TRIMESTRE III]]+Tabla2[[#This Row],[TRIMESTRE IV]]</f>
        <v>221343</v>
      </c>
      <c r="O185" s="39" t="s">
        <v>7</v>
      </c>
      <c r="P185" s="39" t="s">
        <v>500</v>
      </c>
      <c r="Q185" s="59" t="s">
        <v>501</v>
      </c>
    </row>
    <row r="186" spans="2:17" ht="22.5" x14ac:dyDescent="0.2">
      <c r="B186" s="34">
        <v>402</v>
      </c>
      <c r="C186" s="35" t="s">
        <v>484</v>
      </c>
      <c r="D186" s="36">
        <v>530</v>
      </c>
      <c r="E186" s="42" t="str">
        <f>IF(D186&lt;=0,"",VLOOKUP(D186,[1]FF!A:D,2,0))</f>
        <v>PARTICIPACIONES Ramo 28</v>
      </c>
      <c r="F186" s="37" t="s">
        <v>499</v>
      </c>
      <c r="G186" s="37" t="s">
        <v>461</v>
      </c>
      <c r="H186" s="38">
        <v>261001</v>
      </c>
      <c r="I186" s="41" t="str">
        <f>IF(H186&lt;=0,"",VLOOKUP(H186,[2]COG!A:H,2,0))</f>
        <v>Combustibles</v>
      </c>
      <c r="J186" s="50">
        <v>27000</v>
      </c>
      <c r="K186" s="50">
        <v>27000</v>
      </c>
      <c r="L186" s="50">
        <v>28000</v>
      </c>
      <c r="M186" s="50">
        <v>29747</v>
      </c>
      <c r="N186" s="1">
        <f>Tabla2[[#This Row],[TRIMESTRE  I]]+Tabla2[[#This Row],[TRIMESTRE II]]+Tabla2[[#This Row],[TRIMESTRE III]]+Tabla2[[#This Row],[TRIMESTRE IV]]</f>
        <v>111747</v>
      </c>
      <c r="O186" s="39" t="s">
        <v>7</v>
      </c>
      <c r="P186" s="39" t="s">
        <v>500</v>
      </c>
      <c r="Q186" s="59" t="s">
        <v>501</v>
      </c>
    </row>
    <row r="187" spans="2:17" x14ac:dyDescent="0.2">
      <c r="B187" s="34">
        <v>402</v>
      </c>
      <c r="C187" s="35" t="s">
        <v>484</v>
      </c>
      <c r="D187" s="36">
        <v>530</v>
      </c>
      <c r="E187" s="42" t="str">
        <f>IF(D187&lt;=0,"",VLOOKUP(D187,[1]FF!A:D,2,0))</f>
        <v>PARTICIPACIONES Ramo 28</v>
      </c>
      <c r="F187" s="37" t="s">
        <v>490</v>
      </c>
      <c r="G187" s="37" t="s">
        <v>461</v>
      </c>
      <c r="H187" s="38">
        <v>261001</v>
      </c>
      <c r="I187" s="41" t="str">
        <f>IF(H187&lt;=0,"",VLOOKUP(H187,[2]COG!A:H,2,0))</f>
        <v>Combustibles</v>
      </c>
      <c r="J187" s="50">
        <v>3325</v>
      </c>
      <c r="K187" s="50">
        <v>3325</v>
      </c>
      <c r="L187" s="50">
        <v>3325</v>
      </c>
      <c r="M187" s="50">
        <v>3328</v>
      </c>
      <c r="N187" s="1">
        <f>Tabla2[[#This Row],[TRIMESTRE  I]]+Tabla2[[#This Row],[TRIMESTRE II]]+Tabla2[[#This Row],[TRIMESTRE III]]+Tabla2[[#This Row],[TRIMESTRE IV]]</f>
        <v>13303</v>
      </c>
      <c r="O187" s="39" t="s">
        <v>7</v>
      </c>
      <c r="P187" s="39" t="s">
        <v>500</v>
      </c>
      <c r="Q187" s="59" t="s">
        <v>501</v>
      </c>
    </row>
    <row r="188" spans="2:17" ht="33.75" x14ac:dyDescent="0.2">
      <c r="B188" s="34">
        <v>419</v>
      </c>
      <c r="C188" s="35" t="s">
        <v>491</v>
      </c>
      <c r="D188" s="36">
        <v>530</v>
      </c>
      <c r="E188" s="42" t="str">
        <f>IF(D188&lt;=0,"",VLOOKUP(D188,[1]FF!A:D,2,0))</f>
        <v>PARTICIPACIONES Ramo 28</v>
      </c>
      <c r="F188" s="37" t="s">
        <v>492</v>
      </c>
      <c r="G188" s="37" t="s">
        <v>461</v>
      </c>
      <c r="H188" s="38">
        <v>261001</v>
      </c>
      <c r="I188" s="41" t="str">
        <f>IF(H188&lt;=0,"",VLOOKUP(H188,[2]COG!A:H,2,0))</f>
        <v>Combustibles</v>
      </c>
      <c r="J188" s="50">
        <v>10000</v>
      </c>
      <c r="K188" s="50">
        <v>10000</v>
      </c>
      <c r="L188" s="50">
        <v>10000</v>
      </c>
      <c r="M188" s="50">
        <v>10304</v>
      </c>
      <c r="N188" s="1">
        <f>Tabla2[[#This Row],[TRIMESTRE  I]]+Tabla2[[#This Row],[TRIMESTRE II]]+Tabla2[[#This Row],[TRIMESTRE III]]+Tabla2[[#This Row],[TRIMESTRE IV]]</f>
        <v>40304</v>
      </c>
      <c r="O188" s="39" t="s">
        <v>7</v>
      </c>
      <c r="P188" s="39" t="s">
        <v>500</v>
      </c>
      <c r="Q188" s="59" t="s">
        <v>501</v>
      </c>
    </row>
    <row r="189" spans="2:17" ht="22.5" x14ac:dyDescent="0.2">
      <c r="B189" s="34">
        <v>434</v>
      </c>
      <c r="C189" s="35" t="s">
        <v>493</v>
      </c>
      <c r="D189" s="36">
        <v>530</v>
      </c>
      <c r="E189" s="42" t="str">
        <f>IF(D189&lt;=0,"",VLOOKUP(D189,[1]FF!A:D,2,0))</f>
        <v>PARTICIPACIONES Ramo 28</v>
      </c>
      <c r="F189" s="37" t="s">
        <v>494</v>
      </c>
      <c r="G189" s="37" t="s">
        <v>461</v>
      </c>
      <c r="H189" s="38">
        <v>261001</v>
      </c>
      <c r="I189" s="41" t="str">
        <f>IF(H189&lt;=0,"",VLOOKUP(H189,[2]COG!A:H,2,0))</f>
        <v>Combustibles</v>
      </c>
      <c r="J189" s="50">
        <v>78398</v>
      </c>
      <c r="K189" s="50">
        <v>92000</v>
      </c>
      <c r="L189" s="50">
        <v>92000</v>
      </c>
      <c r="M189" s="50">
        <v>80000</v>
      </c>
      <c r="N189" s="1">
        <f>Tabla2[[#This Row],[TRIMESTRE  I]]+Tabla2[[#This Row],[TRIMESTRE II]]+Tabla2[[#This Row],[TRIMESTRE III]]+Tabla2[[#This Row],[TRIMESTRE IV]]</f>
        <v>342398</v>
      </c>
      <c r="O189" s="39" t="s">
        <v>7</v>
      </c>
      <c r="P189" s="39" t="s">
        <v>500</v>
      </c>
      <c r="Q189" s="59" t="s">
        <v>501</v>
      </c>
    </row>
    <row r="190" spans="2:17" ht="22.5" x14ac:dyDescent="0.2">
      <c r="B190" s="34">
        <v>435</v>
      </c>
      <c r="C190" s="35" t="s">
        <v>484</v>
      </c>
      <c r="D190" s="36">
        <v>530</v>
      </c>
      <c r="E190" s="42" t="str">
        <f>IF(D190&lt;=0,"",VLOOKUP(D190,[1]FF!A:D,2,0))</f>
        <v>PARTICIPACIONES Ramo 28</v>
      </c>
      <c r="F190" s="37" t="s">
        <v>503</v>
      </c>
      <c r="G190" s="37" t="s">
        <v>461</v>
      </c>
      <c r="H190" s="38">
        <v>261001</v>
      </c>
      <c r="I190" s="41" t="str">
        <f>IF(H190&lt;=0,"",VLOOKUP(H190,[2]COG!A:H,2,0))</f>
        <v>Combustibles</v>
      </c>
      <c r="J190" s="50">
        <v>65000</v>
      </c>
      <c r="K190" s="50">
        <v>65000</v>
      </c>
      <c r="L190" s="50">
        <v>65000</v>
      </c>
      <c r="M190" s="50">
        <v>67923</v>
      </c>
      <c r="N190" s="1">
        <f>Tabla2[[#This Row],[TRIMESTRE  I]]+Tabla2[[#This Row],[TRIMESTRE II]]+Tabla2[[#This Row],[TRIMESTRE III]]+Tabla2[[#This Row],[TRIMESTRE IV]]</f>
        <v>262923</v>
      </c>
      <c r="O190" s="39" t="s">
        <v>7</v>
      </c>
      <c r="P190" s="39" t="s">
        <v>500</v>
      </c>
      <c r="Q190" s="59" t="s">
        <v>501</v>
      </c>
    </row>
    <row r="191" spans="2:17" ht="33.75" x14ac:dyDescent="0.2">
      <c r="B191" s="34">
        <v>419</v>
      </c>
      <c r="C191" s="35" t="s">
        <v>491</v>
      </c>
      <c r="D191" s="36">
        <v>530</v>
      </c>
      <c r="E191" s="42" t="str">
        <f>IF(D191&lt;=0,"",VLOOKUP(D191,[1]FF!A:D,2,0))</f>
        <v>PARTICIPACIONES Ramo 28</v>
      </c>
      <c r="F191" s="37" t="s">
        <v>492</v>
      </c>
      <c r="G191" s="37" t="s">
        <v>458</v>
      </c>
      <c r="H191" s="38">
        <v>322001</v>
      </c>
      <c r="I191" s="41" t="str">
        <f>IF(H191&lt;=0,"",VLOOKUP(H191,[2]COG!A:H,2,0))</f>
        <v>Arrendamiento de edificios</v>
      </c>
      <c r="J191" s="50">
        <v>52200</v>
      </c>
      <c r="K191" s="50">
        <v>52200</v>
      </c>
      <c r="L191" s="50">
        <v>52200</v>
      </c>
      <c r="M191" s="50">
        <v>52200</v>
      </c>
      <c r="N191" s="1">
        <f>Tabla2[[#This Row],[TRIMESTRE  I]]+Tabla2[[#This Row],[TRIMESTRE II]]+Tabla2[[#This Row],[TRIMESTRE III]]+Tabla2[[#This Row],[TRIMESTRE IV]]</f>
        <v>208800</v>
      </c>
      <c r="O191" s="39" t="s">
        <v>5</v>
      </c>
      <c r="P191" s="39" t="s">
        <v>504</v>
      </c>
      <c r="Q191" s="59" t="s">
        <v>486</v>
      </c>
    </row>
    <row r="192" spans="2:17" ht="22.5" x14ac:dyDescent="0.2">
      <c r="B192" s="34">
        <v>434</v>
      </c>
      <c r="C192" s="35" t="s">
        <v>493</v>
      </c>
      <c r="D192" s="36">
        <v>530</v>
      </c>
      <c r="E192" s="42" t="str">
        <f>IF(D192&lt;=0,"",VLOOKUP(D192,[1]FF!A:D,2,0))</f>
        <v>PARTICIPACIONES Ramo 28</v>
      </c>
      <c r="F192" s="37" t="s">
        <v>494</v>
      </c>
      <c r="G192" s="37" t="s">
        <v>458</v>
      </c>
      <c r="H192" s="38">
        <v>322001</v>
      </c>
      <c r="I192" s="41" t="str">
        <f>IF(H192&lt;=0,"",VLOOKUP(H192,[2]COG!A:H,2,0))</f>
        <v>Arrendamiento de edificios</v>
      </c>
      <c r="J192" s="50">
        <v>70449</v>
      </c>
      <c r="K192" s="50">
        <v>70449</v>
      </c>
      <c r="L192" s="50">
        <v>70449</v>
      </c>
      <c r="M192" s="50">
        <v>70449</v>
      </c>
      <c r="N192" s="1">
        <f>Tabla2[[#This Row],[TRIMESTRE  I]]+Tabla2[[#This Row],[TRIMESTRE II]]+Tabla2[[#This Row],[TRIMESTRE III]]+Tabla2[[#This Row],[TRIMESTRE IV]]</f>
        <v>281796</v>
      </c>
      <c r="O192" s="39" t="s">
        <v>5</v>
      </c>
      <c r="P192" s="39" t="s">
        <v>504</v>
      </c>
      <c r="Q192" s="59" t="s">
        <v>486</v>
      </c>
    </row>
    <row r="193" spans="2:17" ht="22.5" x14ac:dyDescent="0.2">
      <c r="B193" s="34">
        <v>401</v>
      </c>
      <c r="C193" s="35" t="s">
        <v>484</v>
      </c>
      <c r="D193" s="36">
        <v>530</v>
      </c>
      <c r="E193" s="42" t="str">
        <f>IF(D193&lt;=0,"",VLOOKUP(D193,[1]FF!A:D,2,0))</f>
        <v>PARTICIPACIONES Ramo 28</v>
      </c>
      <c r="F193" s="37" t="s">
        <v>496</v>
      </c>
      <c r="G193" s="37" t="s">
        <v>458</v>
      </c>
      <c r="H193" s="38">
        <v>323001</v>
      </c>
      <c r="I193" s="41" t="str">
        <f>IF(H193&lt;=0,"",VLOOKUP(H193,[2]COG!A:H,2,0))</f>
        <v>Arrendamiento de maquinaria y equipo</v>
      </c>
      <c r="J193" s="50">
        <v>44556</v>
      </c>
      <c r="K193" s="50">
        <v>44556</v>
      </c>
      <c r="L193" s="50">
        <v>44556</v>
      </c>
      <c r="M193" s="50">
        <v>44556</v>
      </c>
      <c r="N193" s="1">
        <f>Tabla2[[#This Row],[TRIMESTRE  I]]+Tabla2[[#This Row],[TRIMESTRE II]]+Tabla2[[#This Row],[TRIMESTRE III]]+Tabla2[[#This Row],[TRIMESTRE IV]]</f>
        <v>178224</v>
      </c>
      <c r="O193" s="39" t="s">
        <v>7</v>
      </c>
      <c r="P193" s="39" t="s">
        <v>504</v>
      </c>
      <c r="Q193" s="59" t="s">
        <v>501</v>
      </c>
    </row>
    <row r="194" spans="2:17" ht="22.5" x14ac:dyDescent="0.2">
      <c r="B194" s="34">
        <v>401</v>
      </c>
      <c r="C194" s="35" t="s">
        <v>484</v>
      </c>
      <c r="D194" s="36">
        <v>530</v>
      </c>
      <c r="E194" s="42" t="str">
        <f>IF(D194&lt;=0,"",VLOOKUP(D194,[1]FF!A:D,2,0))</f>
        <v>PARTICIPACIONES Ramo 28</v>
      </c>
      <c r="F194" s="37" t="s">
        <v>485</v>
      </c>
      <c r="G194" s="37" t="s">
        <v>458</v>
      </c>
      <c r="H194" s="49">
        <v>345001</v>
      </c>
      <c r="I194" s="44" t="str">
        <f>IF(H194&lt;=0,"",VLOOKUP(H194,[2]COG!A:H,2,0))</f>
        <v>Seguros</v>
      </c>
      <c r="J194" s="50">
        <v>0</v>
      </c>
      <c r="K194" s="50">
        <v>0</v>
      </c>
      <c r="L194" s="50">
        <v>51000</v>
      </c>
      <c r="M194" s="50">
        <v>0</v>
      </c>
      <c r="N194" s="1">
        <f>Tabla2[[#This Row],[TRIMESTRE  I]]+Tabla2[[#This Row],[TRIMESTRE II]]+Tabla2[[#This Row],[TRIMESTRE III]]+Tabla2[[#This Row],[TRIMESTRE IV]]</f>
        <v>51000</v>
      </c>
      <c r="O194" s="39" t="s">
        <v>5</v>
      </c>
      <c r="P194" s="80" t="s">
        <v>505</v>
      </c>
      <c r="Q194" s="59" t="s">
        <v>486</v>
      </c>
    </row>
    <row r="195" spans="2:17" ht="22.5" x14ac:dyDescent="0.2">
      <c r="B195" s="34">
        <v>401</v>
      </c>
      <c r="C195" s="35" t="s">
        <v>484</v>
      </c>
      <c r="D195" s="36">
        <v>530</v>
      </c>
      <c r="E195" s="42" t="str">
        <f>IF(D195&lt;=0,"",VLOOKUP(D195,[1]FF!A:D,2,0))</f>
        <v>PARTICIPACIONES Ramo 28</v>
      </c>
      <c r="F195" s="37" t="s">
        <v>487</v>
      </c>
      <c r="G195" s="37" t="s">
        <v>458</v>
      </c>
      <c r="H195" s="49">
        <v>345001</v>
      </c>
      <c r="I195" s="44" t="str">
        <f>IF(H195&lt;=0,"",VLOOKUP(H195,[2]COG!A:H,2,0))</f>
        <v>Seguros</v>
      </c>
      <c r="J195" s="50">
        <v>0</v>
      </c>
      <c r="K195" s="50">
        <v>0</v>
      </c>
      <c r="L195" s="50">
        <v>36000</v>
      </c>
      <c r="M195" s="50">
        <v>0</v>
      </c>
      <c r="N195" s="1">
        <f>Tabla2[[#This Row],[TRIMESTRE  I]]+Tabla2[[#This Row],[TRIMESTRE II]]+Tabla2[[#This Row],[TRIMESTRE III]]+Tabla2[[#This Row],[TRIMESTRE IV]]</f>
        <v>36000</v>
      </c>
      <c r="O195" s="39" t="s">
        <v>5</v>
      </c>
      <c r="P195" s="80" t="s">
        <v>506</v>
      </c>
      <c r="Q195" s="59" t="s">
        <v>486</v>
      </c>
    </row>
    <row r="196" spans="2:17" ht="22.5" x14ac:dyDescent="0.2">
      <c r="B196" s="34">
        <v>402</v>
      </c>
      <c r="C196" s="35" t="s">
        <v>484</v>
      </c>
      <c r="D196" s="36">
        <v>530</v>
      </c>
      <c r="E196" s="42" t="str">
        <f>IF(D196&lt;=0,"",VLOOKUP(D196,[1]FF!A:D,2,0))</f>
        <v>PARTICIPACIONES Ramo 28</v>
      </c>
      <c r="F196" s="37" t="s">
        <v>499</v>
      </c>
      <c r="G196" s="37" t="s">
        <v>458</v>
      </c>
      <c r="H196" s="49">
        <v>345001</v>
      </c>
      <c r="I196" s="44" t="str">
        <f>IF(H196&lt;=0,"",VLOOKUP(H196,[2]COG!A:H,2,0))</f>
        <v>Seguros</v>
      </c>
      <c r="J196" s="50">
        <v>0</v>
      </c>
      <c r="K196" s="50">
        <v>0</v>
      </c>
      <c r="L196" s="50">
        <v>18000</v>
      </c>
      <c r="M196" s="50">
        <v>0</v>
      </c>
      <c r="N196" s="1">
        <f>Tabla2[[#This Row],[TRIMESTRE  I]]+Tabla2[[#This Row],[TRIMESTRE II]]+Tabla2[[#This Row],[TRIMESTRE III]]+Tabla2[[#This Row],[TRIMESTRE IV]]</f>
        <v>18000</v>
      </c>
      <c r="O196" s="39" t="s">
        <v>5</v>
      </c>
      <c r="P196" s="80" t="s">
        <v>506</v>
      </c>
      <c r="Q196" s="59" t="s">
        <v>486</v>
      </c>
    </row>
    <row r="197" spans="2:17" ht="33.75" x14ac:dyDescent="0.2">
      <c r="B197" s="34">
        <v>419</v>
      </c>
      <c r="C197" s="35" t="s">
        <v>491</v>
      </c>
      <c r="D197" s="36">
        <v>530</v>
      </c>
      <c r="E197" s="42" t="str">
        <f>IF(D197&lt;=0,"",VLOOKUP(D197,[1]FF!A:D,2,0))</f>
        <v>PARTICIPACIONES Ramo 28</v>
      </c>
      <c r="F197" s="37" t="s">
        <v>492</v>
      </c>
      <c r="G197" s="37" t="s">
        <v>458</v>
      </c>
      <c r="H197" s="49">
        <v>345001</v>
      </c>
      <c r="I197" s="44" t="str">
        <f>IF(H197&lt;=0,"",VLOOKUP(H197,[2]COG!A:H,2,0))</f>
        <v>Seguros</v>
      </c>
      <c r="J197" s="50">
        <v>0</v>
      </c>
      <c r="K197" s="50">
        <v>0</v>
      </c>
      <c r="L197" s="50">
        <v>18000</v>
      </c>
      <c r="M197" s="50">
        <v>0</v>
      </c>
      <c r="N197" s="1">
        <f>Tabla2[[#This Row],[TRIMESTRE  I]]+Tabla2[[#This Row],[TRIMESTRE II]]+Tabla2[[#This Row],[TRIMESTRE III]]+Tabla2[[#This Row],[TRIMESTRE IV]]</f>
        <v>18000</v>
      </c>
      <c r="O197" s="39" t="s">
        <v>5</v>
      </c>
      <c r="P197" s="80" t="s">
        <v>506</v>
      </c>
      <c r="Q197" s="59" t="s">
        <v>486</v>
      </c>
    </row>
    <row r="198" spans="2:17" ht="22.5" x14ac:dyDescent="0.2">
      <c r="B198" s="34">
        <v>434</v>
      </c>
      <c r="C198" s="35" t="s">
        <v>493</v>
      </c>
      <c r="D198" s="36">
        <v>530</v>
      </c>
      <c r="E198" s="42" t="str">
        <f>IF(D198&lt;=0,"",VLOOKUP(D198,[1]FF!A:D,2,0))</f>
        <v>PARTICIPACIONES Ramo 28</v>
      </c>
      <c r="F198" s="37" t="s">
        <v>494</v>
      </c>
      <c r="G198" s="37" t="s">
        <v>458</v>
      </c>
      <c r="H198" s="49">
        <v>345001</v>
      </c>
      <c r="I198" s="44" t="str">
        <f>IF(H198&lt;=0,"",VLOOKUP(H198,[2]COG!A:H,2,0))</f>
        <v>Seguros</v>
      </c>
      <c r="J198" s="50">
        <v>0</v>
      </c>
      <c r="K198" s="50">
        <v>0</v>
      </c>
      <c r="L198" s="50">
        <v>73863.210000000006</v>
      </c>
      <c r="M198" s="50">
        <v>0</v>
      </c>
      <c r="N198" s="1">
        <f>Tabla2[[#This Row],[TRIMESTRE  I]]+Tabla2[[#This Row],[TRIMESTRE II]]+Tabla2[[#This Row],[TRIMESTRE III]]+Tabla2[[#This Row],[TRIMESTRE IV]]</f>
        <v>73863.210000000006</v>
      </c>
      <c r="O198" s="39" t="s">
        <v>5</v>
      </c>
      <c r="P198" s="80" t="s">
        <v>506</v>
      </c>
      <c r="Q198" s="59" t="s">
        <v>486</v>
      </c>
    </row>
    <row r="199" spans="2:17" ht="22.5" x14ac:dyDescent="0.2">
      <c r="B199" s="34">
        <v>435</v>
      </c>
      <c r="C199" s="35" t="s">
        <v>484</v>
      </c>
      <c r="D199" s="36">
        <v>530</v>
      </c>
      <c r="E199" s="42" t="str">
        <f>IF(D199&lt;=0,"",VLOOKUP(D199,[1]FF!A:D,2,0))</f>
        <v>PARTICIPACIONES Ramo 28</v>
      </c>
      <c r="F199" s="37" t="s">
        <v>495</v>
      </c>
      <c r="G199" s="37" t="s">
        <v>458</v>
      </c>
      <c r="H199" s="49">
        <v>345001</v>
      </c>
      <c r="I199" s="44" t="str">
        <f>IF(H199&lt;=0,"",VLOOKUP(H199,[2]COG!A:H,2,0))</f>
        <v>Seguros</v>
      </c>
      <c r="J199" s="50">
        <v>0</v>
      </c>
      <c r="K199" s="50">
        <v>0</v>
      </c>
      <c r="L199" s="50">
        <v>18000</v>
      </c>
      <c r="M199" s="50">
        <v>0</v>
      </c>
      <c r="N199" s="1">
        <f>Tabla2[[#This Row],[TRIMESTRE  I]]+Tabla2[[#This Row],[TRIMESTRE II]]+Tabla2[[#This Row],[TRIMESTRE III]]+Tabla2[[#This Row],[TRIMESTRE IV]]</f>
        <v>18000</v>
      </c>
      <c r="O199" s="39" t="s">
        <v>5</v>
      </c>
      <c r="P199" s="80" t="s">
        <v>506</v>
      </c>
      <c r="Q199" s="59" t="s">
        <v>486</v>
      </c>
    </row>
    <row r="200" spans="2:17" ht="22.5" x14ac:dyDescent="0.2">
      <c r="B200" s="34">
        <v>401</v>
      </c>
      <c r="C200" s="35" t="s">
        <v>484</v>
      </c>
      <c r="D200" s="36">
        <v>530</v>
      </c>
      <c r="E200" s="42" t="str">
        <f>IF(D200&lt;=0,"",VLOOKUP(D200,[1]FF!A:D,2,0))</f>
        <v>PARTICIPACIONES Ramo 28</v>
      </c>
      <c r="F200" s="37" t="s">
        <v>485</v>
      </c>
      <c r="G200" s="37" t="s">
        <v>458</v>
      </c>
      <c r="H200" s="49">
        <v>351001</v>
      </c>
      <c r="I200" s="44" t="s">
        <v>507</v>
      </c>
      <c r="J200" s="50">
        <v>0</v>
      </c>
      <c r="K200" s="50">
        <v>0</v>
      </c>
      <c r="L200" s="50">
        <v>45000</v>
      </c>
      <c r="M200" s="50"/>
      <c r="N200" s="1">
        <f>Tabla2[[#This Row],[TRIMESTRE  I]]+Tabla2[[#This Row],[TRIMESTRE II]]+Tabla2[[#This Row],[TRIMESTRE III]]+Tabla2[[#This Row],[TRIMESTRE IV]]</f>
        <v>45000</v>
      </c>
      <c r="O200" s="39" t="s">
        <v>6</v>
      </c>
      <c r="P200" s="80" t="s">
        <v>508</v>
      </c>
      <c r="Q200" s="59" t="s">
        <v>497</v>
      </c>
    </row>
    <row r="201" spans="2:17" ht="22.5" x14ac:dyDescent="0.2">
      <c r="B201" s="34">
        <v>401</v>
      </c>
      <c r="C201" s="35" t="s">
        <v>484</v>
      </c>
      <c r="D201" s="36">
        <v>530</v>
      </c>
      <c r="E201" s="42" t="str">
        <f>IF(D201&lt;=0,"",VLOOKUP(D201,[1]FF!A:D,2,0))</f>
        <v>PARTICIPACIONES Ramo 28</v>
      </c>
      <c r="F201" s="37" t="s">
        <v>487</v>
      </c>
      <c r="G201" s="37" t="s">
        <v>458</v>
      </c>
      <c r="H201" s="49">
        <v>351001</v>
      </c>
      <c r="I201" s="44" t="s">
        <v>507</v>
      </c>
      <c r="J201" s="50">
        <v>0</v>
      </c>
      <c r="K201" s="50">
        <v>45000</v>
      </c>
      <c r="L201" s="50">
        <v>0</v>
      </c>
      <c r="M201" s="50">
        <v>0</v>
      </c>
      <c r="N201" s="1">
        <f>Tabla2[[#This Row],[TRIMESTRE  I]]+Tabla2[[#This Row],[TRIMESTRE II]]+Tabla2[[#This Row],[TRIMESTRE III]]+Tabla2[[#This Row],[TRIMESTRE IV]]</f>
        <v>45000</v>
      </c>
      <c r="O201" s="39" t="s">
        <v>6</v>
      </c>
      <c r="P201" s="80" t="s">
        <v>508</v>
      </c>
      <c r="Q201" s="59" t="s">
        <v>497</v>
      </c>
    </row>
    <row r="202" spans="2:17" ht="22.5" x14ac:dyDescent="0.2">
      <c r="B202" s="34">
        <v>402</v>
      </c>
      <c r="C202" s="35" t="s">
        <v>484</v>
      </c>
      <c r="D202" s="36">
        <v>530</v>
      </c>
      <c r="E202" s="42" t="str">
        <f>IF(D202&lt;=0,"",VLOOKUP(D202,[1]FF!A:D,2,0))</f>
        <v>PARTICIPACIONES Ramo 28</v>
      </c>
      <c r="F202" s="37" t="s">
        <v>488</v>
      </c>
      <c r="G202" s="37" t="s">
        <v>458</v>
      </c>
      <c r="H202" s="49">
        <v>351001</v>
      </c>
      <c r="I202" s="44" t="s">
        <v>507</v>
      </c>
      <c r="J202" s="50">
        <v>0</v>
      </c>
      <c r="K202" s="50"/>
      <c r="L202" s="50">
        <v>0</v>
      </c>
      <c r="M202" s="50">
        <v>45000</v>
      </c>
      <c r="N202" s="1">
        <f>Tabla2[[#This Row],[TRIMESTRE  I]]+Tabla2[[#This Row],[TRIMESTRE II]]+Tabla2[[#This Row],[TRIMESTRE III]]+Tabla2[[#This Row],[TRIMESTRE IV]]</f>
        <v>45000</v>
      </c>
      <c r="O202" s="39" t="s">
        <v>6</v>
      </c>
      <c r="P202" s="80" t="s">
        <v>508</v>
      </c>
      <c r="Q202" s="59" t="s">
        <v>497</v>
      </c>
    </row>
    <row r="203" spans="2:17" ht="22.5" x14ac:dyDescent="0.2">
      <c r="B203" s="34">
        <v>402</v>
      </c>
      <c r="C203" s="35" t="s">
        <v>484</v>
      </c>
      <c r="D203" s="36">
        <v>530</v>
      </c>
      <c r="E203" s="42" t="str">
        <f>IF(D203&lt;=0,"",VLOOKUP(D203,[1]FF!A:D,2,0))</f>
        <v>PARTICIPACIONES Ramo 28</v>
      </c>
      <c r="F203" s="37" t="s">
        <v>489</v>
      </c>
      <c r="G203" s="37" t="s">
        <v>458</v>
      </c>
      <c r="H203" s="49">
        <v>351001</v>
      </c>
      <c r="I203" s="44" t="s">
        <v>507</v>
      </c>
      <c r="J203" s="50">
        <v>0</v>
      </c>
      <c r="K203" s="50">
        <v>0</v>
      </c>
      <c r="L203" s="50">
        <v>0</v>
      </c>
      <c r="M203" s="50">
        <v>45000</v>
      </c>
      <c r="N203" s="1">
        <f>Tabla2[[#This Row],[TRIMESTRE  I]]+Tabla2[[#This Row],[TRIMESTRE II]]+Tabla2[[#This Row],[TRIMESTRE III]]+Tabla2[[#This Row],[TRIMESTRE IV]]</f>
        <v>45000</v>
      </c>
      <c r="O203" s="39" t="s">
        <v>6</v>
      </c>
      <c r="P203" s="80" t="s">
        <v>508</v>
      </c>
      <c r="Q203" s="59" t="s">
        <v>497</v>
      </c>
    </row>
    <row r="204" spans="2:17" ht="22.5" x14ac:dyDescent="0.2">
      <c r="B204" s="34">
        <v>402</v>
      </c>
      <c r="C204" s="35" t="s">
        <v>484</v>
      </c>
      <c r="D204" s="36">
        <v>530</v>
      </c>
      <c r="E204" s="42" t="str">
        <f>IF(D204&lt;=0,"",VLOOKUP(D204,[1]FF!A:D,2,0))</f>
        <v>PARTICIPACIONES Ramo 28</v>
      </c>
      <c r="F204" s="37" t="s">
        <v>490</v>
      </c>
      <c r="G204" s="37" t="s">
        <v>458</v>
      </c>
      <c r="H204" s="49">
        <v>351001</v>
      </c>
      <c r="I204" s="44" t="s">
        <v>507</v>
      </c>
      <c r="J204" s="50">
        <v>0</v>
      </c>
      <c r="K204" s="50">
        <v>0</v>
      </c>
      <c r="L204" s="50">
        <v>45000</v>
      </c>
      <c r="M204" s="50">
        <v>0</v>
      </c>
      <c r="N204" s="1">
        <f>Tabla2[[#This Row],[TRIMESTRE  I]]+Tabla2[[#This Row],[TRIMESTRE II]]+Tabla2[[#This Row],[TRIMESTRE III]]+Tabla2[[#This Row],[TRIMESTRE IV]]</f>
        <v>45000</v>
      </c>
      <c r="O204" s="39" t="s">
        <v>6</v>
      </c>
      <c r="P204" s="80" t="s">
        <v>508</v>
      </c>
      <c r="Q204" s="59" t="s">
        <v>497</v>
      </c>
    </row>
    <row r="205" spans="2:17" ht="33.75" x14ac:dyDescent="0.2">
      <c r="B205" s="34">
        <v>419</v>
      </c>
      <c r="C205" s="35" t="s">
        <v>491</v>
      </c>
      <c r="D205" s="36">
        <v>530</v>
      </c>
      <c r="E205" s="42" t="str">
        <f>IF(D205&lt;=0,"",VLOOKUP(D205,[1]FF!A:D,2,0))</f>
        <v>PARTICIPACIONES Ramo 28</v>
      </c>
      <c r="F205" s="37" t="s">
        <v>492</v>
      </c>
      <c r="G205" s="37" t="s">
        <v>458</v>
      </c>
      <c r="H205" s="49">
        <v>351001</v>
      </c>
      <c r="I205" s="44" t="s">
        <v>507</v>
      </c>
      <c r="J205" s="50">
        <v>0</v>
      </c>
      <c r="K205" s="50">
        <v>0</v>
      </c>
      <c r="L205" s="50">
        <v>45000</v>
      </c>
      <c r="M205" s="50">
        <v>0</v>
      </c>
      <c r="N205" s="1">
        <f>Tabla2[[#This Row],[TRIMESTRE  I]]+Tabla2[[#This Row],[TRIMESTRE II]]+Tabla2[[#This Row],[TRIMESTRE III]]+Tabla2[[#This Row],[TRIMESTRE IV]]</f>
        <v>45000</v>
      </c>
      <c r="O205" s="39" t="s">
        <v>6</v>
      </c>
      <c r="P205" s="80" t="s">
        <v>508</v>
      </c>
      <c r="Q205" s="59" t="s">
        <v>497</v>
      </c>
    </row>
    <row r="206" spans="2:17" ht="22.5" x14ac:dyDescent="0.2">
      <c r="B206" s="34">
        <v>434</v>
      </c>
      <c r="C206" s="35" t="s">
        <v>493</v>
      </c>
      <c r="D206" s="36">
        <v>530</v>
      </c>
      <c r="E206" s="42" t="str">
        <f>IF(D206&lt;=0,"",VLOOKUP(D206,[1]FF!A:D,2,0))</f>
        <v>PARTICIPACIONES Ramo 28</v>
      </c>
      <c r="F206" s="37" t="s">
        <v>494</v>
      </c>
      <c r="G206" s="37" t="s">
        <v>458</v>
      </c>
      <c r="H206" s="49">
        <v>351001</v>
      </c>
      <c r="I206" s="44" t="s">
        <v>507</v>
      </c>
      <c r="J206" s="50">
        <v>0</v>
      </c>
      <c r="K206" s="50">
        <v>0</v>
      </c>
      <c r="L206" s="50">
        <v>0</v>
      </c>
      <c r="M206" s="50">
        <v>45000</v>
      </c>
      <c r="N206" s="1">
        <f>Tabla2[[#This Row],[TRIMESTRE  I]]+Tabla2[[#This Row],[TRIMESTRE II]]+Tabla2[[#This Row],[TRIMESTRE III]]+Tabla2[[#This Row],[TRIMESTRE IV]]</f>
        <v>45000</v>
      </c>
      <c r="O206" s="39" t="s">
        <v>6</v>
      </c>
      <c r="P206" s="80" t="s">
        <v>508</v>
      </c>
      <c r="Q206" s="59" t="s">
        <v>497</v>
      </c>
    </row>
    <row r="207" spans="2:17" ht="22.5" x14ac:dyDescent="0.2">
      <c r="B207" s="34">
        <v>435</v>
      </c>
      <c r="C207" s="35" t="s">
        <v>484</v>
      </c>
      <c r="D207" s="36">
        <v>530</v>
      </c>
      <c r="E207" s="42" t="str">
        <f>IF(D207&lt;=0,"",VLOOKUP(D207,[1]FF!A:D,2,0))</f>
        <v>PARTICIPACIONES Ramo 28</v>
      </c>
      <c r="F207" s="37" t="s">
        <v>495</v>
      </c>
      <c r="G207" s="37" t="s">
        <v>458</v>
      </c>
      <c r="H207" s="49">
        <v>351001</v>
      </c>
      <c r="I207" s="44" t="s">
        <v>507</v>
      </c>
      <c r="J207" s="50">
        <v>0</v>
      </c>
      <c r="K207" s="50">
        <v>0</v>
      </c>
      <c r="L207" s="50">
        <v>45000</v>
      </c>
      <c r="M207" s="50">
        <v>0</v>
      </c>
      <c r="N207" s="1">
        <f>Tabla2[[#This Row],[TRIMESTRE  I]]+Tabla2[[#This Row],[TRIMESTRE II]]+Tabla2[[#This Row],[TRIMESTRE III]]+Tabla2[[#This Row],[TRIMESTRE IV]]</f>
        <v>45000</v>
      </c>
      <c r="O207" s="39" t="s">
        <v>6</v>
      </c>
      <c r="P207" s="80" t="s">
        <v>508</v>
      </c>
      <c r="Q207" s="59" t="s">
        <v>497</v>
      </c>
    </row>
    <row r="208" spans="2:17" ht="22.5" x14ac:dyDescent="0.2">
      <c r="B208" s="34">
        <v>401</v>
      </c>
      <c r="C208" s="35" t="s">
        <v>484</v>
      </c>
      <c r="D208" s="36">
        <v>530</v>
      </c>
      <c r="E208" s="42" t="str">
        <f>IF(D208&lt;=0,"",VLOOKUP(D208,[1]FF!A:D,2,0))</f>
        <v>PARTICIPACIONES Ramo 28</v>
      </c>
      <c r="F208" s="37" t="s">
        <v>485</v>
      </c>
      <c r="G208" s="37" t="s">
        <v>458</v>
      </c>
      <c r="H208" s="49">
        <v>371001</v>
      </c>
      <c r="I208" s="44" t="str">
        <f>IF(H208&lt;=0,"",VLOOKUP(H208,[2]COG!A:H,2,0))</f>
        <v>Pasajes aéreos</v>
      </c>
      <c r="J208" s="50">
        <v>34000</v>
      </c>
      <c r="K208" s="50">
        <v>34000</v>
      </c>
      <c r="L208" s="50">
        <v>34000</v>
      </c>
      <c r="M208" s="50">
        <v>34000</v>
      </c>
      <c r="N208" s="1">
        <f>Tabla2[[#This Row],[TRIMESTRE  I]]+Tabla2[[#This Row],[TRIMESTRE II]]+Tabla2[[#This Row],[TRIMESTRE III]]+Tabla2[[#This Row],[TRIMESTRE IV]]</f>
        <v>136000</v>
      </c>
      <c r="O208" s="39" t="s">
        <v>5</v>
      </c>
      <c r="P208" s="39" t="s">
        <v>498</v>
      </c>
      <c r="Q208" s="59" t="s">
        <v>486</v>
      </c>
    </row>
    <row r="209" spans="2:17" ht="22.5" x14ac:dyDescent="0.2">
      <c r="B209" s="34">
        <v>402</v>
      </c>
      <c r="C209" s="35" t="s">
        <v>484</v>
      </c>
      <c r="D209" s="36">
        <v>530</v>
      </c>
      <c r="E209" s="42" t="str">
        <f>IF(D209&lt;=0,"",VLOOKUP(D209,[1]FF!A:D,2,0))</f>
        <v>PARTICIPACIONES Ramo 28</v>
      </c>
      <c r="F209" s="37" t="s">
        <v>488</v>
      </c>
      <c r="G209" s="37" t="s">
        <v>458</v>
      </c>
      <c r="H209" s="49">
        <v>371001</v>
      </c>
      <c r="I209" s="44" t="str">
        <f>IF(H209&lt;=0,"",VLOOKUP(H209,[2]COG!A:H,2,0))</f>
        <v>Pasajes aéreos</v>
      </c>
      <c r="J209" s="50">
        <v>16000</v>
      </c>
      <c r="K209" s="50">
        <v>16000</v>
      </c>
      <c r="L209" s="50">
        <v>18967</v>
      </c>
      <c r="M209" s="50">
        <v>15000</v>
      </c>
      <c r="N209" s="1">
        <f>Tabla2[[#This Row],[TRIMESTRE  I]]+Tabla2[[#This Row],[TRIMESTRE II]]+Tabla2[[#This Row],[TRIMESTRE III]]+Tabla2[[#This Row],[TRIMESTRE IV]]</f>
        <v>65967</v>
      </c>
      <c r="O209" s="39" t="s">
        <v>5</v>
      </c>
      <c r="P209" s="39" t="s">
        <v>498</v>
      </c>
      <c r="Q209" s="59" t="s">
        <v>486</v>
      </c>
    </row>
    <row r="210" spans="2:17" x14ac:dyDescent="0.2">
      <c r="B210" s="34">
        <v>402</v>
      </c>
      <c r="C210" s="35" t="s">
        <v>484</v>
      </c>
      <c r="D210" s="36">
        <v>530</v>
      </c>
      <c r="E210" s="42" t="str">
        <f>IF(D210&lt;=0,"",VLOOKUP(D210,[1]FF!A:D,2,0))</f>
        <v>PARTICIPACIONES Ramo 28</v>
      </c>
      <c r="F210" s="37" t="s">
        <v>490</v>
      </c>
      <c r="G210" s="37" t="s">
        <v>458</v>
      </c>
      <c r="H210" s="49">
        <v>371001</v>
      </c>
      <c r="I210" s="44" t="str">
        <f>IF(H210&lt;=0,"",VLOOKUP(H210,[2]COG!A:H,2,0))</f>
        <v>Pasajes aéreos</v>
      </c>
      <c r="J210" s="50">
        <v>0</v>
      </c>
      <c r="K210" s="50">
        <v>6358</v>
      </c>
      <c r="L210" s="50">
        <v>0</v>
      </c>
      <c r="M210" s="50">
        <v>0</v>
      </c>
      <c r="N210" s="1">
        <f>Tabla2[[#This Row],[TRIMESTRE  I]]+Tabla2[[#This Row],[TRIMESTRE II]]+Tabla2[[#This Row],[TRIMESTRE III]]+Tabla2[[#This Row],[TRIMESTRE IV]]</f>
        <v>6358</v>
      </c>
      <c r="O210" s="39" t="s">
        <v>5</v>
      </c>
      <c r="P210" s="79" t="s">
        <v>498</v>
      </c>
      <c r="Q210" s="59" t="s">
        <v>486</v>
      </c>
    </row>
    <row r="211" spans="2:17" ht="22.5" x14ac:dyDescent="0.2">
      <c r="B211" s="34">
        <v>434</v>
      </c>
      <c r="C211" s="35" t="s">
        <v>493</v>
      </c>
      <c r="D211" s="36">
        <v>530</v>
      </c>
      <c r="E211" s="42" t="str">
        <f>IF(D211&lt;=0,"",VLOOKUP(D211,[1]FF!A:D,2,0))</f>
        <v>PARTICIPACIONES Ramo 28</v>
      </c>
      <c r="F211" s="37" t="s">
        <v>494</v>
      </c>
      <c r="G211" s="37" t="s">
        <v>458</v>
      </c>
      <c r="H211" s="49">
        <v>371001</v>
      </c>
      <c r="I211" s="44" t="str">
        <f>IF(H211&lt;=0,"",VLOOKUP(H211,[2]COG!A:H,2,0))</f>
        <v>Pasajes aéreos</v>
      </c>
      <c r="J211" s="50">
        <v>0</v>
      </c>
      <c r="K211" s="50">
        <v>6848</v>
      </c>
      <c r="L211" s="50">
        <v>0</v>
      </c>
      <c r="M211" s="50">
        <v>0</v>
      </c>
      <c r="N211" s="1">
        <f>Tabla2[[#This Row],[TRIMESTRE  I]]+Tabla2[[#This Row],[TRIMESTRE II]]+Tabla2[[#This Row],[TRIMESTRE III]]+Tabla2[[#This Row],[TRIMESTRE IV]]</f>
        <v>6848</v>
      </c>
      <c r="O211" s="39" t="s">
        <v>5</v>
      </c>
      <c r="P211" s="79" t="s">
        <v>498</v>
      </c>
      <c r="Q211" s="59" t="s">
        <v>486</v>
      </c>
    </row>
    <row r="212" spans="2:17" ht="22.5" x14ac:dyDescent="0.2">
      <c r="B212" s="34">
        <v>435</v>
      </c>
      <c r="C212" s="35" t="s">
        <v>484</v>
      </c>
      <c r="D212" s="36">
        <v>530</v>
      </c>
      <c r="E212" s="42" t="str">
        <f>IF(D212&lt;=0,"",VLOOKUP(D212,[1]FF!A:D,2,0))</f>
        <v>PARTICIPACIONES Ramo 28</v>
      </c>
      <c r="F212" s="37" t="s">
        <v>495</v>
      </c>
      <c r="G212" s="37" t="s">
        <v>458</v>
      </c>
      <c r="H212" s="49">
        <v>371001</v>
      </c>
      <c r="I212" s="44" t="str">
        <f>IF(H212&lt;=0,"",VLOOKUP(H212,[2]COG!A:H,2,0))</f>
        <v>Pasajes aéreos</v>
      </c>
      <c r="J212" s="50">
        <v>0</v>
      </c>
      <c r="K212" s="50">
        <v>18958</v>
      </c>
      <c r="L212" s="50">
        <v>15000</v>
      </c>
      <c r="M212" s="50">
        <v>0</v>
      </c>
      <c r="N212" s="1">
        <f>Tabla2[[#This Row],[TRIMESTRE  I]]+Tabla2[[#This Row],[TRIMESTRE II]]+Tabla2[[#This Row],[TRIMESTRE III]]+Tabla2[[#This Row],[TRIMESTRE IV]]</f>
        <v>33958</v>
      </c>
      <c r="O212" s="39" t="s">
        <v>5</v>
      </c>
      <c r="P212" s="79" t="s">
        <v>498</v>
      </c>
      <c r="Q212" s="59" t="s">
        <v>486</v>
      </c>
    </row>
    <row r="213" spans="2:17" ht="22.5" x14ac:dyDescent="0.2">
      <c r="B213" s="34">
        <v>401</v>
      </c>
      <c r="C213" s="35" t="s">
        <v>484</v>
      </c>
      <c r="D213" s="36">
        <v>530</v>
      </c>
      <c r="E213" s="42" t="str">
        <f>IF(D213&lt;=0,"",VLOOKUP(D213,[1]FF!A:D,2,0))</f>
        <v>PARTICIPACIONES Ramo 28</v>
      </c>
      <c r="F213" s="37" t="s">
        <v>485</v>
      </c>
      <c r="G213" s="37" t="s">
        <v>459</v>
      </c>
      <c r="H213" s="49">
        <v>515002</v>
      </c>
      <c r="I213" s="44" t="str">
        <f>IF(H213&lt;=0,"",VLOOKUP(H213,[2]COG!A:H,2,0))</f>
        <v>Equipo de Cómputo y Aparatos de Uso Informático</v>
      </c>
      <c r="J213" s="50">
        <v>0</v>
      </c>
      <c r="K213" s="50">
        <v>192220</v>
      </c>
      <c r="L213" s="50">
        <v>0</v>
      </c>
      <c r="M213" s="50">
        <v>0</v>
      </c>
      <c r="N213" s="1">
        <f>Tabla2[[#This Row],[TRIMESTRE  I]]+Tabla2[[#This Row],[TRIMESTRE II]]+Tabla2[[#This Row],[TRIMESTRE III]]+Tabla2[[#This Row],[TRIMESTRE IV]]</f>
        <v>192220</v>
      </c>
      <c r="O213" s="39" t="s">
        <v>15</v>
      </c>
      <c r="P213" s="80" t="s">
        <v>509</v>
      </c>
      <c r="Q213" s="59" t="s">
        <v>510</v>
      </c>
    </row>
    <row r="214" spans="2:17" ht="22.5" x14ac:dyDescent="0.2">
      <c r="B214" s="34">
        <v>401</v>
      </c>
      <c r="C214" s="35" t="s">
        <v>484</v>
      </c>
      <c r="D214" s="36">
        <v>530</v>
      </c>
      <c r="E214" s="42" t="str">
        <f>IF(D214&lt;=0,"",VLOOKUP(D214,[1]FF!A:D,2,0))</f>
        <v>PARTICIPACIONES Ramo 28</v>
      </c>
      <c r="F214" s="37" t="s">
        <v>487</v>
      </c>
      <c r="G214" s="37" t="s">
        <v>459</v>
      </c>
      <c r="H214" s="49">
        <v>515002</v>
      </c>
      <c r="I214" s="44" t="str">
        <f>IF(H214&lt;=0,"",VLOOKUP(H214,[2]COG!A:H,2,0))</f>
        <v>Equipo de Cómputo y Aparatos de Uso Informático</v>
      </c>
      <c r="J214" s="50">
        <v>0</v>
      </c>
      <c r="K214" s="50">
        <v>194956</v>
      </c>
      <c r="L214" s="50">
        <v>0</v>
      </c>
      <c r="M214" s="50">
        <v>0</v>
      </c>
      <c r="N214" s="1">
        <f>Tabla2[[#This Row],[TRIMESTRE  I]]+Tabla2[[#This Row],[TRIMESTRE II]]+Tabla2[[#This Row],[TRIMESTRE III]]+Tabla2[[#This Row],[TRIMESTRE IV]]</f>
        <v>194956</v>
      </c>
      <c r="O214" s="39" t="s">
        <v>15</v>
      </c>
      <c r="P214" s="39" t="s">
        <v>509</v>
      </c>
      <c r="Q214" s="59" t="s">
        <v>510</v>
      </c>
    </row>
    <row r="215" spans="2:17" ht="22.5" x14ac:dyDescent="0.2">
      <c r="B215" s="34">
        <v>402</v>
      </c>
      <c r="C215" s="35" t="s">
        <v>484</v>
      </c>
      <c r="D215" s="36">
        <v>530</v>
      </c>
      <c r="E215" s="42" t="str">
        <f>IF(D215&lt;=0,"",VLOOKUP(D215,[1]FF!A:D,2,0))</f>
        <v>PARTICIPACIONES Ramo 28</v>
      </c>
      <c r="F215" s="37" t="s">
        <v>488</v>
      </c>
      <c r="G215" s="37" t="s">
        <v>459</v>
      </c>
      <c r="H215" s="49">
        <v>515002</v>
      </c>
      <c r="I215" s="44" t="str">
        <f>IF(H215&lt;=0,"",VLOOKUP(H215,[2]COG!A:H,2,0))</f>
        <v>Equipo de Cómputo y Aparatos de Uso Informático</v>
      </c>
      <c r="J215" s="50">
        <v>0</v>
      </c>
      <c r="K215" s="50">
        <v>132000</v>
      </c>
      <c r="L215" s="50">
        <v>0</v>
      </c>
      <c r="M215" s="50">
        <v>0</v>
      </c>
      <c r="N215" s="1">
        <f>Tabla2[[#This Row],[TRIMESTRE  I]]+Tabla2[[#This Row],[TRIMESTRE II]]+Tabla2[[#This Row],[TRIMESTRE III]]+Tabla2[[#This Row],[TRIMESTRE IV]]</f>
        <v>132000</v>
      </c>
      <c r="O215" s="39" t="s">
        <v>15</v>
      </c>
      <c r="P215" s="39" t="s">
        <v>509</v>
      </c>
      <c r="Q215" s="59" t="s">
        <v>510</v>
      </c>
    </row>
    <row r="216" spans="2:17" ht="33.75" x14ac:dyDescent="0.2">
      <c r="B216" s="34">
        <v>419</v>
      </c>
      <c r="C216" s="35" t="s">
        <v>491</v>
      </c>
      <c r="D216" s="36">
        <v>530</v>
      </c>
      <c r="E216" s="42" t="str">
        <f>IF(D216&lt;=0,"",VLOOKUP(D216,[1]FF!A:D,2,0))</f>
        <v>PARTICIPACIONES Ramo 28</v>
      </c>
      <c r="F216" s="37" t="s">
        <v>492</v>
      </c>
      <c r="G216" s="37" t="s">
        <v>459</v>
      </c>
      <c r="H216" s="49">
        <v>515002</v>
      </c>
      <c r="I216" s="44" t="str">
        <f>IF(H216&lt;=0,"",VLOOKUP(H216,[2]COG!A:H,2,0))</f>
        <v>Equipo de Cómputo y Aparatos de Uso Informático</v>
      </c>
      <c r="J216" s="50">
        <v>0</v>
      </c>
      <c r="K216" s="50">
        <v>194992.5</v>
      </c>
      <c r="L216" s="50">
        <v>0</v>
      </c>
      <c r="M216" s="50">
        <v>0</v>
      </c>
      <c r="N216" s="1">
        <f>Tabla2[[#This Row],[TRIMESTRE  I]]+Tabla2[[#This Row],[TRIMESTRE II]]+Tabla2[[#This Row],[TRIMESTRE III]]+Tabla2[[#This Row],[TRIMESTRE IV]]</f>
        <v>194992.5</v>
      </c>
      <c r="O216" s="39" t="s">
        <v>15</v>
      </c>
      <c r="P216" s="39" t="s">
        <v>509</v>
      </c>
      <c r="Q216" s="59" t="s">
        <v>510</v>
      </c>
    </row>
    <row r="217" spans="2:17" ht="22.5" x14ac:dyDescent="0.2">
      <c r="B217" s="34">
        <v>434</v>
      </c>
      <c r="C217" s="35" t="s">
        <v>493</v>
      </c>
      <c r="D217" s="36">
        <v>530</v>
      </c>
      <c r="E217" s="42" t="str">
        <f>IF(D217&lt;=0,"",VLOOKUP(D217,[1]FF!A:D,2,0))</f>
        <v>PARTICIPACIONES Ramo 28</v>
      </c>
      <c r="F217" s="37" t="s">
        <v>494</v>
      </c>
      <c r="G217" s="37" t="s">
        <v>459</v>
      </c>
      <c r="H217" s="49">
        <v>515002</v>
      </c>
      <c r="I217" s="44" t="str">
        <f>IF(H217&lt;=0,"",VLOOKUP(H217,[2]COG!A:H,2,0))</f>
        <v>Equipo de Cómputo y Aparatos de Uso Informático</v>
      </c>
      <c r="J217" s="50">
        <v>0</v>
      </c>
      <c r="K217" s="50">
        <v>291756</v>
      </c>
      <c r="L217" s="50">
        <v>0</v>
      </c>
      <c r="M217" s="50">
        <v>0</v>
      </c>
      <c r="N217" s="1">
        <f>Tabla2[[#This Row],[TRIMESTRE  I]]+Tabla2[[#This Row],[TRIMESTRE II]]+Tabla2[[#This Row],[TRIMESTRE III]]+Tabla2[[#This Row],[TRIMESTRE IV]]</f>
        <v>291756</v>
      </c>
      <c r="O217" s="39" t="s">
        <v>15</v>
      </c>
      <c r="P217" s="39" t="s">
        <v>509</v>
      </c>
      <c r="Q217" s="59" t="s">
        <v>510</v>
      </c>
    </row>
    <row r="218" spans="2:17" ht="22.5" x14ac:dyDescent="0.2">
      <c r="B218" s="34">
        <v>435</v>
      </c>
      <c r="C218" s="35" t="s">
        <v>484</v>
      </c>
      <c r="D218" s="36">
        <v>530</v>
      </c>
      <c r="E218" s="42" t="str">
        <f>IF(D218&lt;=0,"",VLOOKUP(D218,[1]FF!A:D,2,0))</f>
        <v>PARTICIPACIONES Ramo 28</v>
      </c>
      <c r="F218" s="37" t="s">
        <v>495</v>
      </c>
      <c r="G218" s="37" t="s">
        <v>459</v>
      </c>
      <c r="H218" s="49">
        <v>515002</v>
      </c>
      <c r="I218" s="44" t="str">
        <f>IF(H218&lt;=0,"",VLOOKUP(H218,[2]COG!A:H,2,0))</f>
        <v>Equipo de Cómputo y Aparatos de Uso Informático</v>
      </c>
      <c r="J218" s="50">
        <v>0</v>
      </c>
      <c r="K218" s="50">
        <v>0</v>
      </c>
      <c r="L218" s="50">
        <v>134833</v>
      </c>
      <c r="M218" s="50">
        <v>0</v>
      </c>
      <c r="N218" s="1">
        <f>Tabla2[[#This Row],[TRIMESTRE  I]]+Tabla2[[#This Row],[TRIMESTRE II]]+Tabla2[[#This Row],[TRIMESTRE III]]+Tabla2[[#This Row],[TRIMESTRE IV]]</f>
        <v>134833</v>
      </c>
      <c r="O218" s="39" t="s">
        <v>7</v>
      </c>
      <c r="P218" s="39" t="s">
        <v>509</v>
      </c>
      <c r="Q218" s="59" t="s">
        <v>510</v>
      </c>
    </row>
    <row r="219" spans="2:17" ht="22.5" x14ac:dyDescent="0.2">
      <c r="B219" s="34">
        <v>401</v>
      </c>
      <c r="C219" s="35" t="s">
        <v>484</v>
      </c>
      <c r="D219" s="36">
        <v>530</v>
      </c>
      <c r="E219" s="42" t="str">
        <f>IF(D219&lt;=0,"",VLOOKUP(D219,[1]FF!A:D,2,0))</f>
        <v>PARTICIPACIONES Ramo 28</v>
      </c>
      <c r="F219" s="37" t="s">
        <v>487</v>
      </c>
      <c r="G219" s="37" t="s">
        <v>458</v>
      </c>
      <c r="H219" s="49">
        <v>351000</v>
      </c>
      <c r="I219" s="44" t="s">
        <v>511</v>
      </c>
      <c r="J219" s="50">
        <v>0</v>
      </c>
      <c r="K219" s="50">
        <v>150000</v>
      </c>
      <c r="L219" s="50">
        <v>0</v>
      </c>
      <c r="M219" s="50">
        <v>0</v>
      </c>
      <c r="N219" s="1">
        <f>Tabla2[[#This Row],[TRIMESTRE  I]]+Tabla2[[#This Row],[TRIMESTRE II]]+Tabla2[[#This Row],[TRIMESTRE III]]+Tabla2[[#This Row],[TRIMESTRE IV]]</f>
        <v>150000</v>
      </c>
      <c r="O219" s="39" t="s">
        <v>6</v>
      </c>
      <c r="P219" s="39" t="s">
        <v>512</v>
      </c>
      <c r="Q219" s="59" t="s">
        <v>497</v>
      </c>
    </row>
    <row r="220" spans="2:17" ht="22.5" x14ac:dyDescent="0.2">
      <c r="B220" s="34">
        <v>402</v>
      </c>
      <c r="C220" s="35" t="s">
        <v>484</v>
      </c>
      <c r="D220" s="36">
        <v>530</v>
      </c>
      <c r="E220" s="42" t="str">
        <f>IF(D220&lt;=0,"",VLOOKUP(D220,[1]FF!A:D,2,0))</f>
        <v>PARTICIPACIONES Ramo 28</v>
      </c>
      <c r="F220" s="37" t="s">
        <v>490</v>
      </c>
      <c r="G220" s="37" t="s">
        <v>458</v>
      </c>
      <c r="H220" s="49">
        <v>351001</v>
      </c>
      <c r="I220" s="44" t="s">
        <v>513</v>
      </c>
      <c r="J220" s="50">
        <v>0</v>
      </c>
      <c r="K220" s="50">
        <v>25000</v>
      </c>
      <c r="L220" s="50">
        <v>0</v>
      </c>
      <c r="M220" s="50">
        <v>0</v>
      </c>
      <c r="N220" s="1">
        <f>Tabla2[[#This Row],[TRIMESTRE  I]]+Tabla2[[#This Row],[TRIMESTRE II]]+Tabla2[[#This Row],[TRIMESTRE III]]+Tabla2[[#This Row],[TRIMESTRE IV]]</f>
        <v>25000</v>
      </c>
      <c r="O220" s="39" t="s">
        <v>6</v>
      </c>
      <c r="P220" s="39" t="s">
        <v>512</v>
      </c>
      <c r="Q220" s="59" t="s">
        <v>497</v>
      </c>
    </row>
    <row r="221" spans="2:17" ht="33.75" x14ac:dyDescent="0.2">
      <c r="B221" s="34">
        <v>402</v>
      </c>
      <c r="C221" s="35" t="s">
        <v>491</v>
      </c>
      <c r="D221" s="36">
        <v>530</v>
      </c>
      <c r="E221" s="42" t="str">
        <f>IF(D221&lt;=0,"",VLOOKUP(D221,[1]FF!A:D,2,0))</f>
        <v>PARTICIPACIONES Ramo 28</v>
      </c>
      <c r="F221" s="37" t="s">
        <v>492</v>
      </c>
      <c r="G221" s="37" t="s">
        <v>458</v>
      </c>
      <c r="H221" s="38">
        <v>351001</v>
      </c>
      <c r="I221" s="44" t="s">
        <v>513</v>
      </c>
      <c r="J221" s="50">
        <v>0</v>
      </c>
      <c r="K221" s="50">
        <v>45000</v>
      </c>
      <c r="L221" s="50">
        <v>0</v>
      </c>
      <c r="M221" s="50">
        <v>0</v>
      </c>
      <c r="N221" s="1">
        <f>Tabla2[[#This Row],[TRIMESTRE  I]]+Tabla2[[#This Row],[TRIMESTRE II]]+Tabla2[[#This Row],[TRIMESTRE III]]+Tabla2[[#This Row],[TRIMESTRE IV]]</f>
        <v>45000</v>
      </c>
      <c r="O221" s="39" t="s">
        <v>6</v>
      </c>
      <c r="P221" s="39" t="s">
        <v>512</v>
      </c>
      <c r="Q221" s="59" t="s">
        <v>497</v>
      </c>
    </row>
    <row r="222" spans="2:17" ht="22.5" x14ac:dyDescent="0.2">
      <c r="B222" s="34">
        <v>419</v>
      </c>
      <c r="C222" s="35" t="s">
        <v>493</v>
      </c>
      <c r="D222" s="36">
        <v>530</v>
      </c>
      <c r="E222" s="42" t="str">
        <f>IF(D222&lt;=0,"",VLOOKUP(D222,[1]FF!A:D,2,0))</f>
        <v>PARTICIPACIONES Ramo 28</v>
      </c>
      <c r="F222" s="37" t="s">
        <v>514</v>
      </c>
      <c r="G222" s="37" t="s">
        <v>458</v>
      </c>
      <c r="H222" s="38">
        <v>351001</v>
      </c>
      <c r="I222" s="44" t="s">
        <v>513</v>
      </c>
      <c r="J222" s="50">
        <v>0</v>
      </c>
      <c r="K222" s="50">
        <v>115000</v>
      </c>
      <c r="L222" s="50">
        <v>0</v>
      </c>
      <c r="M222" s="50">
        <v>0</v>
      </c>
      <c r="N222" s="1">
        <f>Tabla2[[#This Row],[TRIMESTRE  I]]+Tabla2[[#This Row],[TRIMESTRE II]]+Tabla2[[#This Row],[TRIMESTRE III]]+Tabla2[[#This Row],[TRIMESTRE IV]]</f>
        <v>115000</v>
      </c>
      <c r="O222" s="39" t="s">
        <v>6</v>
      </c>
      <c r="P222" s="39" t="s">
        <v>512</v>
      </c>
      <c r="Q222" s="59" t="s">
        <v>497</v>
      </c>
    </row>
    <row r="223" spans="2:17" ht="33.75" x14ac:dyDescent="0.2">
      <c r="B223" s="34">
        <v>402</v>
      </c>
      <c r="C223" s="35" t="s">
        <v>491</v>
      </c>
      <c r="D223" s="36">
        <v>530</v>
      </c>
      <c r="E223" s="42" t="str">
        <f>IF(D223&lt;=0,"",VLOOKUP(D223,[1]FF!A:D,2,0))</f>
        <v>PARTICIPACIONES Ramo 28</v>
      </c>
      <c r="F223" s="37" t="s">
        <v>492</v>
      </c>
      <c r="G223" s="37" t="s">
        <v>459</v>
      </c>
      <c r="H223" s="38">
        <v>591000</v>
      </c>
      <c r="I223" s="41" t="str">
        <f>IF(H223&lt;=0,"",VLOOKUP(H223,[2]COG!A:H,2,0))</f>
        <v>Software</v>
      </c>
      <c r="J223" s="39">
        <v>638000</v>
      </c>
      <c r="K223" s="39">
        <v>0</v>
      </c>
      <c r="L223" s="39">
        <v>0</v>
      </c>
      <c r="M223" s="39">
        <v>0</v>
      </c>
      <c r="N223" s="1">
        <f>Tabla2[[#This Row],[TRIMESTRE  I]]+Tabla2[[#This Row],[TRIMESTRE II]]+Tabla2[[#This Row],[TRIMESTRE III]]+Tabla2[[#This Row],[TRIMESTRE IV]]</f>
        <v>638000</v>
      </c>
      <c r="O223" s="39" t="s">
        <v>6</v>
      </c>
      <c r="P223" s="39" t="s">
        <v>498</v>
      </c>
      <c r="Q223" s="59" t="s">
        <v>497</v>
      </c>
    </row>
    <row r="224" spans="2:17" ht="33.75" x14ac:dyDescent="0.2">
      <c r="B224" s="34">
        <v>402</v>
      </c>
      <c r="C224" s="35" t="s">
        <v>491</v>
      </c>
      <c r="D224" s="36">
        <v>530</v>
      </c>
      <c r="E224" s="42" t="str">
        <f>IF(D224&lt;=0,"",VLOOKUP(D224,[1]FF!A:D,2,0))</f>
        <v>PARTICIPACIONES Ramo 28</v>
      </c>
      <c r="F224" s="37" t="s">
        <v>492</v>
      </c>
      <c r="G224" s="37" t="s">
        <v>459</v>
      </c>
      <c r="H224" s="38">
        <v>597000</v>
      </c>
      <c r="I224" s="41" t="s">
        <v>515</v>
      </c>
      <c r="J224" s="50">
        <v>624645</v>
      </c>
      <c r="K224" s="50">
        <v>0</v>
      </c>
      <c r="L224" s="50">
        <v>0</v>
      </c>
      <c r="M224" s="50">
        <v>0</v>
      </c>
      <c r="N224" s="1">
        <f>Tabla2[[#This Row],[TRIMESTRE  I]]+Tabla2[[#This Row],[TRIMESTRE II]]+Tabla2[[#This Row],[TRIMESTRE III]]+Tabla2[[#This Row],[TRIMESTRE IV]]</f>
        <v>624645</v>
      </c>
      <c r="O224" s="39" t="s">
        <v>6</v>
      </c>
      <c r="P224" s="39" t="s">
        <v>516</v>
      </c>
      <c r="Q224" s="59" t="s">
        <v>497</v>
      </c>
    </row>
    <row r="225" spans="2:17" ht="33.75" x14ac:dyDescent="0.2">
      <c r="B225" s="34">
        <v>402</v>
      </c>
      <c r="C225" s="35" t="s">
        <v>491</v>
      </c>
      <c r="D225" s="36">
        <v>530</v>
      </c>
      <c r="E225" s="42" t="str">
        <f>IF(D225&lt;=0,"",VLOOKUP(D225,[1]FF!A:D,2,0))</f>
        <v>PARTICIPACIONES Ramo 28</v>
      </c>
      <c r="F225" s="37" t="s">
        <v>492</v>
      </c>
      <c r="G225" s="37" t="s">
        <v>459</v>
      </c>
      <c r="H225" s="38">
        <v>515002</v>
      </c>
      <c r="I225" s="41" t="s">
        <v>517</v>
      </c>
      <c r="J225" s="50">
        <v>533400</v>
      </c>
      <c r="K225" s="50">
        <v>0</v>
      </c>
      <c r="L225" s="50">
        <v>0</v>
      </c>
      <c r="M225" s="50">
        <v>0</v>
      </c>
      <c r="N225" s="1">
        <f>Tabla2[[#This Row],[TRIMESTRE  I]]+Tabla2[[#This Row],[TRIMESTRE II]]+Tabla2[[#This Row],[TRIMESTRE III]]+Tabla2[[#This Row],[TRIMESTRE IV]]</f>
        <v>533400</v>
      </c>
      <c r="O225" s="39" t="s">
        <v>15</v>
      </c>
      <c r="P225" s="80" t="s">
        <v>498</v>
      </c>
      <c r="Q225" s="59" t="s">
        <v>510</v>
      </c>
    </row>
    <row r="226" spans="2:17" ht="22.5" x14ac:dyDescent="0.2">
      <c r="B226" s="34">
        <v>435</v>
      </c>
      <c r="C226" s="35" t="s">
        <v>484</v>
      </c>
      <c r="D226" s="36">
        <v>530</v>
      </c>
      <c r="E226" s="42" t="str">
        <f>IF(D226&lt;=0,"",VLOOKUP(D226,[1]FF!A:D,2,0))</f>
        <v>PARTICIPACIONES Ramo 28</v>
      </c>
      <c r="F226" s="37" t="s">
        <v>495</v>
      </c>
      <c r="G226" s="37" t="s">
        <v>459</v>
      </c>
      <c r="H226" s="49">
        <v>540000</v>
      </c>
      <c r="I226" s="44" t="str">
        <f>IF(H226&lt;=0,"",VLOOKUP(H226,[2]COG!A:H,2,0))</f>
        <v>VEHÍCULOS Y EQUIPO DE TRANSPORTE</v>
      </c>
      <c r="J226" s="50">
        <v>0</v>
      </c>
      <c r="K226" s="50">
        <v>585000</v>
      </c>
      <c r="L226" s="50">
        <v>0</v>
      </c>
      <c r="M226" s="50">
        <v>0</v>
      </c>
      <c r="N226" s="1">
        <f>Tabla2[[#This Row],[TRIMESTRE  I]]+Tabla2[[#This Row],[TRIMESTRE II]]+Tabla2[[#This Row],[TRIMESTRE III]]+Tabla2[[#This Row],[TRIMESTRE IV]]</f>
        <v>585000</v>
      </c>
      <c r="O226" s="39" t="s">
        <v>7</v>
      </c>
      <c r="P226" s="80" t="s">
        <v>509</v>
      </c>
      <c r="Q226" s="59" t="s">
        <v>501</v>
      </c>
    </row>
    <row r="227" spans="2:17" ht="22.5" x14ac:dyDescent="0.2">
      <c r="B227" s="34">
        <v>402</v>
      </c>
      <c r="C227" s="35" t="s">
        <v>484</v>
      </c>
      <c r="D227" s="36">
        <v>530</v>
      </c>
      <c r="E227" s="42" t="str">
        <f>IF(D227&lt;=0,"",VLOOKUP(D227,[1]FF!A:D,2,0))</f>
        <v>PARTICIPACIONES Ramo 28</v>
      </c>
      <c r="F227" s="37" t="s">
        <v>488</v>
      </c>
      <c r="G227" s="37" t="s">
        <v>459</v>
      </c>
      <c r="H227" s="49">
        <v>540000</v>
      </c>
      <c r="I227" s="44" t="str">
        <f>IF(H227&lt;=0,"",VLOOKUP(H227,[2]COG!A:H,2,0))</f>
        <v>VEHÍCULOS Y EQUIPO DE TRANSPORTE</v>
      </c>
      <c r="J227" s="50">
        <v>0</v>
      </c>
      <c r="K227" s="50">
        <v>585000</v>
      </c>
      <c r="L227" s="50">
        <v>0</v>
      </c>
      <c r="M227" s="50">
        <v>0</v>
      </c>
      <c r="N227" s="1">
        <f>Tabla2[[#This Row],[TRIMESTRE  I]]+Tabla2[[#This Row],[TRIMESTRE II]]+Tabla2[[#This Row],[TRIMESTRE III]]+Tabla2[[#This Row],[TRIMESTRE IV]]</f>
        <v>585000</v>
      </c>
      <c r="O227" s="39" t="s">
        <v>7</v>
      </c>
      <c r="P227" s="80" t="s">
        <v>509</v>
      </c>
      <c r="Q227" s="59" t="s">
        <v>501</v>
      </c>
    </row>
    <row r="228" spans="2:17" ht="22.5" x14ac:dyDescent="0.2">
      <c r="B228" s="34">
        <v>401</v>
      </c>
      <c r="C228" s="35" t="s">
        <v>484</v>
      </c>
      <c r="D228" s="36">
        <v>530</v>
      </c>
      <c r="E228" s="42" t="str">
        <f>IF(D228&lt;=0,"",VLOOKUP(D228,[1]FF!A:D,2,0))</f>
        <v>PARTICIPACIONES Ramo 28</v>
      </c>
      <c r="F228" s="37" t="s">
        <v>485</v>
      </c>
      <c r="G228" s="37" t="s">
        <v>459</v>
      </c>
      <c r="H228" s="49">
        <v>511001</v>
      </c>
      <c r="I228" s="44" t="str">
        <f>IF(H228&lt;=0,"",VLOOKUP(H228,[2]COG!A:H,2,0))</f>
        <v>Mobiliario</v>
      </c>
      <c r="J228" s="50">
        <v>0</v>
      </c>
      <c r="K228" s="50">
        <v>132935</v>
      </c>
      <c r="L228" s="50">
        <v>0</v>
      </c>
      <c r="M228" s="50">
        <v>0</v>
      </c>
      <c r="N228" s="1">
        <f>Tabla2[[#This Row],[TRIMESTRE  I]]+Tabla2[[#This Row],[TRIMESTRE II]]+Tabla2[[#This Row],[TRIMESTRE III]]+Tabla2[[#This Row],[TRIMESTRE IV]]</f>
        <v>132935</v>
      </c>
      <c r="O228" s="39" t="s">
        <v>15</v>
      </c>
      <c r="P228" s="39" t="s">
        <v>498</v>
      </c>
      <c r="Q228" s="59" t="s">
        <v>510</v>
      </c>
    </row>
    <row r="229" spans="2:17" ht="22.5" x14ac:dyDescent="0.2">
      <c r="B229" s="34">
        <v>401</v>
      </c>
      <c r="C229" s="35" t="s">
        <v>484</v>
      </c>
      <c r="D229" s="36">
        <v>530</v>
      </c>
      <c r="E229" s="42" t="str">
        <f>IF(D229&lt;=0,"",VLOOKUP(D229,[1]FF!A:D,2,0))</f>
        <v>PARTICIPACIONES Ramo 28</v>
      </c>
      <c r="F229" s="37" t="s">
        <v>487</v>
      </c>
      <c r="G229" s="37" t="s">
        <v>459</v>
      </c>
      <c r="H229" s="49">
        <v>511001</v>
      </c>
      <c r="I229" s="44" t="str">
        <f>IF(H229&lt;=0,"",VLOOKUP(H229,[2]COG!A:H,2,0))</f>
        <v>Mobiliario</v>
      </c>
      <c r="J229" s="50">
        <v>0</v>
      </c>
      <c r="K229" s="50">
        <v>150000</v>
      </c>
      <c r="L229" s="50">
        <v>0</v>
      </c>
      <c r="M229" s="50">
        <v>0</v>
      </c>
      <c r="N229" s="1">
        <f>Tabla2[[#This Row],[TRIMESTRE  I]]+Tabla2[[#This Row],[TRIMESTRE II]]+Tabla2[[#This Row],[TRIMESTRE III]]+Tabla2[[#This Row],[TRIMESTRE IV]]</f>
        <v>150000</v>
      </c>
      <c r="O229" s="39" t="s">
        <v>15</v>
      </c>
      <c r="P229" s="80" t="s">
        <v>498</v>
      </c>
      <c r="Q229" s="59" t="s">
        <v>510</v>
      </c>
    </row>
    <row r="230" spans="2:17" ht="22.5" x14ac:dyDescent="0.2">
      <c r="B230" s="34">
        <v>401</v>
      </c>
      <c r="C230" s="35" t="s">
        <v>484</v>
      </c>
      <c r="D230" s="36">
        <v>530</v>
      </c>
      <c r="E230" s="42" t="str">
        <f>IF(D230&lt;=0,"",VLOOKUP(D230,[1]FF!A:D,2,0))</f>
        <v>PARTICIPACIONES Ramo 28</v>
      </c>
      <c r="F230" s="37" t="s">
        <v>485</v>
      </c>
      <c r="G230" s="37" t="s">
        <v>458</v>
      </c>
      <c r="H230" s="49">
        <v>351001</v>
      </c>
      <c r="I230" s="44" t="str">
        <f>IF(H230&lt;=0,"",VLOOKUP(H230,[2]COG!A:H,2,0))</f>
        <v>Mantenimiento de inmuebles</v>
      </c>
      <c r="J230" s="50">
        <v>3456406</v>
      </c>
      <c r="K230" s="50">
        <v>3500000</v>
      </c>
      <c r="L230" s="50">
        <v>3500000</v>
      </c>
      <c r="M230" s="50">
        <v>0</v>
      </c>
      <c r="N230" s="1">
        <f>Tabla2[[#This Row],[TRIMESTRE  I]]+Tabla2[[#This Row],[TRIMESTRE II]]+Tabla2[[#This Row],[TRIMESTRE III]]+Tabla2[[#This Row],[TRIMESTRE IV]]</f>
        <v>10456406</v>
      </c>
      <c r="O230" s="39" t="s">
        <v>15</v>
      </c>
      <c r="P230" s="80" t="s">
        <v>498</v>
      </c>
      <c r="Q230" s="59" t="s">
        <v>510</v>
      </c>
    </row>
    <row r="231" spans="2:17" ht="22.5" x14ac:dyDescent="0.2">
      <c r="B231" s="34">
        <v>401</v>
      </c>
      <c r="C231" s="35" t="s">
        <v>484</v>
      </c>
      <c r="D231" s="36">
        <v>530</v>
      </c>
      <c r="E231" s="42" t="str">
        <f>IF(D231&lt;=0,"",VLOOKUP(D231,[1]FF!A:D,2,0))</f>
        <v>PARTICIPACIONES Ramo 28</v>
      </c>
      <c r="F231" s="37" t="s">
        <v>487</v>
      </c>
      <c r="G231" s="37" t="s">
        <v>458</v>
      </c>
      <c r="H231" s="49">
        <v>352000</v>
      </c>
      <c r="I231" s="44" t="s">
        <v>518</v>
      </c>
      <c r="J231" s="50">
        <v>29667</v>
      </c>
      <c r="K231" s="50">
        <v>29667</v>
      </c>
      <c r="L231" s="50">
        <v>29667</v>
      </c>
      <c r="M231" s="50">
        <v>29667</v>
      </c>
      <c r="N231" s="1">
        <f>Tabla2[[#This Row],[TRIMESTRE  I]]+Tabla2[[#This Row],[TRIMESTRE II]]+Tabla2[[#This Row],[TRIMESTRE III]]+Tabla2[[#This Row],[TRIMESTRE IV]]</f>
        <v>118668</v>
      </c>
      <c r="O231" s="39" t="s">
        <v>6</v>
      </c>
      <c r="P231" s="79">
        <v>45323</v>
      </c>
      <c r="Q231" s="59" t="s">
        <v>497</v>
      </c>
    </row>
    <row r="232" spans="2:17" x14ac:dyDescent="0.2">
      <c r="B232" s="34"/>
      <c r="C232" s="35"/>
      <c r="D232" s="36"/>
      <c r="E232" s="42"/>
      <c r="F232" s="37"/>
      <c r="G232" s="37"/>
      <c r="H232" s="38"/>
      <c r="I232" s="41"/>
      <c r="J232" s="39"/>
      <c r="K232" s="39"/>
      <c r="L232" s="39"/>
      <c r="M232" s="39"/>
      <c r="N232" s="1">
        <f>SUBTOTAL(109,Tabla2[[PRESUPUESTO ANUAL AUTORIZADO ]])</f>
        <v>19732660.710000001</v>
      </c>
      <c r="O232" s="39"/>
      <c r="P232" s="80"/>
      <c r="Q232" s="59"/>
    </row>
    <row r="233" spans="2:17" x14ac:dyDescent="0.2">
      <c r="B233" s="34"/>
      <c r="C233" s="35"/>
      <c r="D233" s="36"/>
      <c r="E233" s="42"/>
      <c r="F233" s="37"/>
      <c r="G233" s="37"/>
      <c r="H233" s="49"/>
      <c r="I233" s="44"/>
      <c r="J233" s="50"/>
      <c r="K233" s="50"/>
      <c r="L233" s="50"/>
      <c r="M233" s="50"/>
      <c r="N233" s="1"/>
      <c r="O233" s="39"/>
      <c r="P233" s="79"/>
      <c r="Q233" s="59"/>
    </row>
    <row r="234" spans="2:17" ht="23.25" x14ac:dyDescent="0.2">
      <c r="B234" s="111" t="s">
        <v>4</v>
      </c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</row>
    <row r="235" spans="2:17" ht="23.25" x14ac:dyDescent="0.2">
      <c r="B235" s="109" t="s">
        <v>741</v>
      </c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</row>
    <row r="236" spans="2:17" ht="23.25" x14ac:dyDescent="0.2">
      <c r="B236" s="110" t="s">
        <v>466</v>
      </c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</row>
    <row r="237" spans="2:17" x14ac:dyDescent="0.2">
      <c r="B237" s="34"/>
      <c r="C237" s="35"/>
      <c r="D237" s="36"/>
      <c r="E237" s="42"/>
      <c r="F237" s="37"/>
      <c r="G237" s="37"/>
      <c r="H237" s="49"/>
      <c r="I237" s="44"/>
      <c r="J237" s="50"/>
      <c r="K237" s="50"/>
      <c r="L237" s="50"/>
      <c r="M237" s="50"/>
      <c r="N237" s="1"/>
      <c r="O237" s="39"/>
      <c r="P237" s="79"/>
      <c r="Q237" s="59"/>
    </row>
    <row r="238" spans="2:17" s="90" customFormat="1" ht="45" x14ac:dyDescent="0.2">
      <c r="B238" s="5" t="s">
        <v>9</v>
      </c>
      <c r="C238" s="5" t="s">
        <v>10</v>
      </c>
      <c r="D238" s="5" t="s">
        <v>1</v>
      </c>
      <c r="E238" s="5" t="s">
        <v>0</v>
      </c>
      <c r="F238" s="78" t="s">
        <v>17</v>
      </c>
      <c r="G238" s="5" t="s">
        <v>2</v>
      </c>
      <c r="H238" s="5" t="s">
        <v>11</v>
      </c>
      <c r="I238" s="5" t="s">
        <v>16</v>
      </c>
      <c r="J238" s="5" t="s">
        <v>465</v>
      </c>
      <c r="K238" s="5" t="s">
        <v>462</v>
      </c>
      <c r="L238" s="5" t="s">
        <v>463</v>
      </c>
      <c r="M238" s="5" t="s">
        <v>464</v>
      </c>
      <c r="N238" s="5" t="s">
        <v>12</v>
      </c>
      <c r="O238" s="5" t="s">
        <v>3</v>
      </c>
      <c r="P238" s="5" t="s">
        <v>13</v>
      </c>
      <c r="Q238" s="5" t="s">
        <v>8</v>
      </c>
    </row>
    <row r="239" spans="2:17" ht="56.25" x14ac:dyDescent="0.2">
      <c r="B239" s="34">
        <v>436</v>
      </c>
      <c r="C239" s="35" t="s">
        <v>519</v>
      </c>
      <c r="D239" s="36">
        <v>530</v>
      </c>
      <c r="E239" s="42" t="str">
        <f>IF(D239&lt;=0,"",VLOOKUP(D239,[1]FF!A:D,2,0))</f>
        <v>PARTICIPACIONES Ramo 28</v>
      </c>
      <c r="F239" s="67" t="s">
        <v>520</v>
      </c>
      <c r="G239" s="37" t="s">
        <v>461</v>
      </c>
      <c r="H239" s="38">
        <v>211001</v>
      </c>
      <c r="I239" s="41" t="str">
        <f>IF(H239&lt;=0,"",VLOOKUP(H239,[3]COG!A:H,2,0))</f>
        <v>Material de oficina</v>
      </c>
      <c r="J239" s="39">
        <v>22871</v>
      </c>
      <c r="K239" s="39">
        <v>22100</v>
      </c>
      <c r="L239" s="39">
        <v>22131</v>
      </c>
      <c r="M239" s="39">
        <v>14875</v>
      </c>
      <c r="N239" s="1">
        <f>Tabla4[[#This Row],[TRIMESTRE  I]]+Tabla4[[#This Row],[TRIMESTRE II]]+Tabla4[[#This Row],[TRIMESTRE III]]+Tabla4[[#This Row],[TRIMESTRE IV]]</f>
        <v>81977</v>
      </c>
      <c r="O239" s="39" t="s">
        <v>5</v>
      </c>
      <c r="P239" s="79">
        <v>45657</v>
      </c>
      <c r="Q239" s="79" t="s">
        <v>521</v>
      </c>
    </row>
    <row r="240" spans="2:17" ht="56.25" x14ac:dyDescent="0.2">
      <c r="B240" s="34">
        <v>436</v>
      </c>
      <c r="C240" s="35" t="s">
        <v>519</v>
      </c>
      <c r="D240" s="36">
        <v>530</v>
      </c>
      <c r="E240" s="42" t="str">
        <f>IF(D240&lt;=0,"",VLOOKUP(D240,[1]FF!A:D,2,0))</f>
        <v>PARTICIPACIONES Ramo 28</v>
      </c>
      <c r="F240" s="37" t="s">
        <v>520</v>
      </c>
      <c r="G240" s="37" t="s">
        <v>461</v>
      </c>
      <c r="H240" s="38">
        <v>212001</v>
      </c>
      <c r="I240" s="41" t="str">
        <f>IF(H240&lt;=0,"",VLOOKUP(H240,[3]COG!A:H,2,0))</f>
        <v>Material y útiles de impresión</v>
      </c>
      <c r="J240" s="39">
        <v>4098</v>
      </c>
      <c r="K240" s="39">
        <v>6147</v>
      </c>
      <c r="L240" s="39">
        <v>6147</v>
      </c>
      <c r="M240" s="39">
        <v>4098</v>
      </c>
      <c r="N240" s="1">
        <f>Tabla4[[#This Row],[TRIMESTRE  I]]+Tabla4[[#This Row],[TRIMESTRE II]]+Tabla4[[#This Row],[TRIMESTRE III]]+Tabla4[[#This Row],[TRIMESTRE IV]]</f>
        <v>20490</v>
      </c>
      <c r="O240" s="39" t="s">
        <v>6</v>
      </c>
      <c r="P240" s="79">
        <v>45657</v>
      </c>
      <c r="Q240" s="79" t="s">
        <v>522</v>
      </c>
    </row>
    <row r="241" spans="2:17" ht="56.25" x14ac:dyDescent="0.2">
      <c r="B241" s="34">
        <v>436</v>
      </c>
      <c r="C241" s="35" t="s">
        <v>519</v>
      </c>
      <c r="D241" s="36">
        <v>530</v>
      </c>
      <c r="E241" s="42" t="str">
        <f>IF(D241&lt;=0,"",VLOOKUP(D241,[1]FF!A:D,2,0))</f>
        <v>PARTICIPACIONES Ramo 28</v>
      </c>
      <c r="F241" s="37" t="s">
        <v>520</v>
      </c>
      <c r="G241" s="37" t="s">
        <v>461</v>
      </c>
      <c r="H241" s="38">
        <v>216001</v>
      </c>
      <c r="I241" s="41" t="str">
        <f>IF(H241&lt;=0,"",VLOOKUP(H241,[3]COG!A:H,2,0))</f>
        <v>Material de limpieza</v>
      </c>
      <c r="J241" s="39">
        <v>7378</v>
      </c>
      <c r="K241" s="39">
        <v>11067</v>
      </c>
      <c r="L241" s="39">
        <v>11067</v>
      </c>
      <c r="M241" s="39">
        <v>7378</v>
      </c>
      <c r="N241" s="1">
        <f>Tabla4[[#This Row],[TRIMESTRE  I]]+Tabla4[[#This Row],[TRIMESTRE II]]+Tabla4[[#This Row],[TRIMESTRE III]]+Tabla4[[#This Row],[TRIMESTRE IV]]</f>
        <v>36890</v>
      </c>
      <c r="O241" s="39" t="s">
        <v>5</v>
      </c>
      <c r="P241" s="79">
        <v>45657</v>
      </c>
      <c r="Q241" s="79" t="s">
        <v>521</v>
      </c>
    </row>
    <row r="242" spans="2:17" ht="56.25" x14ac:dyDescent="0.2">
      <c r="B242" s="34">
        <v>436</v>
      </c>
      <c r="C242" s="35" t="s">
        <v>519</v>
      </c>
      <c r="D242" s="36">
        <v>530</v>
      </c>
      <c r="E242" s="42" t="str">
        <f>IF(D242&lt;=0,"",VLOOKUP(D242,[1]FF!A:D,2,0))</f>
        <v>PARTICIPACIONES Ramo 28</v>
      </c>
      <c r="F242" s="37" t="s">
        <v>520</v>
      </c>
      <c r="G242" s="37" t="s">
        <v>461</v>
      </c>
      <c r="H242" s="38">
        <v>221001</v>
      </c>
      <c r="I242" s="41" t="str">
        <f>IF(H242&lt;=0,"",VLOOKUP(H242,[3]COG!A:H,2,0))</f>
        <v>Alimentación de personas</v>
      </c>
      <c r="J242" s="39">
        <v>15780</v>
      </c>
      <c r="K242" s="39">
        <v>15780</v>
      </c>
      <c r="L242" s="39">
        <v>15780</v>
      </c>
      <c r="M242" s="39">
        <v>10520</v>
      </c>
      <c r="N242" s="1">
        <f>Tabla4[[#This Row],[TRIMESTRE  I]]+Tabla4[[#This Row],[TRIMESTRE II]]+Tabla4[[#This Row],[TRIMESTRE III]]+Tabla4[[#This Row],[TRIMESTRE IV]]</f>
        <v>57860</v>
      </c>
      <c r="O242" s="39" t="s">
        <v>6</v>
      </c>
      <c r="P242" s="79">
        <v>45657</v>
      </c>
      <c r="Q242" s="79" t="s">
        <v>522</v>
      </c>
    </row>
    <row r="243" spans="2:17" ht="56.25" x14ac:dyDescent="0.2">
      <c r="B243" s="34">
        <v>436</v>
      </c>
      <c r="C243" s="35" t="s">
        <v>519</v>
      </c>
      <c r="D243" s="36">
        <v>530</v>
      </c>
      <c r="E243" s="42" t="str">
        <f>IF(D243&lt;=0,"",VLOOKUP(D243,[1]FF!A:D,2,0))</f>
        <v>PARTICIPACIONES Ramo 28</v>
      </c>
      <c r="F243" s="37" t="s">
        <v>520</v>
      </c>
      <c r="G243" s="37" t="s">
        <v>461</v>
      </c>
      <c r="H243" s="38">
        <v>261001</v>
      </c>
      <c r="I243" s="41" t="str">
        <f>IF(H243&lt;=0,"",VLOOKUP(H243,[3]COG!A:H,2,0))</f>
        <v>Combustibles</v>
      </c>
      <c r="J243" s="39">
        <v>19530</v>
      </c>
      <c r="K243" s="39">
        <v>19530</v>
      </c>
      <c r="L243" s="39">
        <v>19530</v>
      </c>
      <c r="M243" s="39">
        <v>19530</v>
      </c>
      <c r="N243" s="1">
        <f>Tabla4[[#This Row],[TRIMESTRE  I]]+Tabla4[[#This Row],[TRIMESTRE II]]+Tabla4[[#This Row],[TRIMESTRE III]]+Tabla4[[#This Row],[TRIMESTRE IV]]</f>
        <v>78120</v>
      </c>
      <c r="O243" s="39" t="s">
        <v>5</v>
      </c>
      <c r="P243" s="79">
        <v>45657</v>
      </c>
      <c r="Q243" s="79" t="s">
        <v>521</v>
      </c>
    </row>
    <row r="244" spans="2:17" ht="56.25" x14ac:dyDescent="0.2">
      <c r="B244" s="34">
        <v>436</v>
      </c>
      <c r="C244" s="35" t="s">
        <v>519</v>
      </c>
      <c r="D244" s="36">
        <v>530</v>
      </c>
      <c r="E244" s="42" t="str">
        <f>IF(D244&lt;=0,"",VLOOKUP(D244,[1]FF!A:D,2,0))</f>
        <v>PARTICIPACIONES Ramo 28</v>
      </c>
      <c r="F244" s="37" t="s">
        <v>520</v>
      </c>
      <c r="G244" s="37" t="s">
        <v>461</v>
      </c>
      <c r="H244" s="38">
        <v>261002</v>
      </c>
      <c r="I244" s="41" t="str">
        <f>IF(H244&lt;=0,"",VLOOKUP(H244,[3]COG!A:H,2,0))</f>
        <v>Lubricantes y aditivos</v>
      </c>
      <c r="J244" s="39">
        <v>1020</v>
      </c>
      <c r="K244" s="39">
        <v>1530</v>
      </c>
      <c r="L244" s="39">
        <v>1445</v>
      </c>
      <c r="M244" s="39">
        <v>932</v>
      </c>
      <c r="N244" s="1">
        <f>Tabla4[[#This Row],[TRIMESTRE  I]]+Tabla4[[#This Row],[TRIMESTRE II]]+Tabla4[[#This Row],[TRIMESTRE III]]+Tabla4[[#This Row],[TRIMESTRE IV]]</f>
        <v>4927</v>
      </c>
      <c r="O244" s="39" t="s">
        <v>6</v>
      </c>
      <c r="P244" s="79">
        <v>45657</v>
      </c>
      <c r="Q244" s="79" t="s">
        <v>522</v>
      </c>
    </row>
    <row r="245" spans="2:17" ht="56.25" x14ac:dyDescent="0.2">
      <c r="B245" s="34">
        <v>436</v>
      </c>
      <c r="C245" s="35" t="s">
        <v>519</v>
      </c>
      <c r="D245" s="36">
        <v>530</v>
      </c>
      <c r="E245" s="42" t="str">
        <f>IF(D245&lt;=0,"",VLOOKUP(D245,[1]FF!A:D,2,0))</f>
        <v>PARTICIPACIONES Ramo 28</v>
      </c>
      <c r="F245" s="37" t="s">
        <v>520</v>
      </c>
      <c r="G245" s="37" t="s">
        <v>461</v>
      </c>
      <c r="H245" s="38">
        <v>271001</v>
      </c>
      <c r="I245" s="41" t="str">
        <f>IF(H245&lt;=0,"",VLOOKUP(H245,[3]COG!A:H,2,0))</f>
        <v>Ropa, vestuario y equipo</v>
      </c>
      <c r="J245" s="39">
        <v>19284</v>
      </c>
      <c r="K245" s="39">
        <v>0</v>
      </c>
      <c r="L245" s="39">
        <v>0</v>
      </c>
      <c r="M245" s="39">
        <v>0</v>
      </c>
      <c r="N245" s="1">
        <f>Tabla4[[#This Row],[TRIMESTRE  I]]+Tabla4[[#This Row],[TRIMESTRE II]]+Tabla4[[#This Row],[TRIMESTRE III]]+Tabla4[[#This Row],[TRIMESTRE IV]]</f>
        <v>19284</v>
      </c>
      <c r="O245" s="39" t="s">
        <v>5</v>
      </c>
      <c r="P245" s="79">
        <v>45657</v>
      </c>
      <c r="Q245" s="79" t="s">
        <v>521</v>
      </c>
    </row>
    <row r="246" spans="2:17" ht="56.25" x14ac:dyDescent="0.2">
      <c r="B246" s="34">
        <v>436</v>
      </c>
      <c r="C246" s="35" t="s">
        <v>519</v>
      </c>
      <c r="D246" s="36">
        <v>530</v>
      </c>
      <c r="E246" s="42" t="str">
        <f>IF(D246&lt;=0,"",VLOOKUP(D246,[1]FF!A:D,2,0))</f>
        <v>PARTICIPACIONES Ramo 28</v>
      </c>
      <c r="F246" s="37" t="s">
        <v>520</v>
      </c>
      <c r="G246" s="37" t="s">
        <v>458</v>
      </c>
      <c r="H246" s="38">
        <v>311000</v>
      </c>
      <c r="I246" s="41" t="str">
        <f>IF(H246&lt;=0,"",VLOOKUP(H246,[3]COG!A:H,2,0))</f>
        <v>Energía eléctrica</v>
      </c>
      <c r="J246" s="39">
        <v>0</v>
      </c>
      <c r="K246" s="39">
        <v>0</v>
      </c>
      <c r="L246" s="39">
        <v>0</v>
      </c>
      <c r="M246" s="39">
        <v>19033</v>
      </c>
      <c r="N246" s="1">
        <f>Tabla4[[#This Row],[TRIMESTRE  I]]+Tabla4[[#This Row],[TRIMESTRE II]]+Tabla4[[#This Row],[TRIMESTRE III]]+Tabla4[[#This Row],[TRIMESTRE IV]]</f>
        <v>19033</v>
      </c>
      <c r="O246" s="39" t="s">
        <v>6</v>
      </c>
      <c r="P246" s="79">
        <v>45657</v>
      </c>
      <c r="Q246" s="59"/>
    </row>
    <row r="247" spans="2:17" ht="56.25" x14ac:dyDescent="0.2">
      <c r="B247" s="34">
        <v>436</v>
      </c>
      <c r="C247" s="35" t="s">
        <v>519</v>
      </c>
      <c r="D247" s="36">
        <v>530</v>
      </c>
      <c r="E247" s="42" t="str">
        <f>IF(D247&lt;=0,"",VLOOKUP(D247,[1]FF!A:D,2,0))</f>
        <v>PARTICIPACIONES Ramo 28</v>
      </c>
      <c r="F247" s="37" t="s">
        <v>520</v>
      </c>
      <c r="G247" s="37" t="s">
        <v>458</v>
      </c>
      <c r="H247" s="38">
        <v>314001</v>
      </c>
      <c r="I247" s="41" t="str">
        <f>IF(H247&lt;=0,"",VLOOKUP(H247,[3]COG!A:H,2,0))</f>
        <v>Servicio telefónico</v>
      </c>
      <c r="J247" s="39">
        <v>0</v>
      </c>
      <c r="K247" s="39">
        <v>2441</v>
      </c>
      <c r="L247" s="39">
        <v>7323</v>
      </c>
      <c r="M247" s="39">
        <v>7323</v>
      </c>
      <c r="N247" s="1">
        <f>Tabla4[[#This Row],[TRIMESTRE  I]]+Tabla4[[#This Row],[TRIMESTRE II]]+Tabla4[[#This Row],[TRIMESTRE III]]+Tabla4[[#This Row],[TRIMESTRE IV]]</f>
        <v>17087</v>
      </c>
      <c r="O247" s="39" t="s">
        <v>6</v>
      </c>
      <c r="P247" s="79">
        <v>45657</v>
      </c>
      <c r="Q247" s="59"/>
    </row>
    <row r="248" spans="2:17" ht="56.25" x14ac:dyDescent="0.2">
      <c r="B248" s="34">
        <v>436</v>
      </c>
      <c r="C248" s="35" t="s">
        <v>519</v>
      </c>
      <c r="D248" s="36">
        <v>530</v>
      </c>
      <c r="E248" s="42" t="str">
        <f>IF(D248&lt;=0,"",VLOOKUP(D248,[1]FF!A:D,2,0))</f>
        <v>PARTICIPACIONES Ramo 28</v>
      </c>
      <c r="F248" s="37" t="s">
        <v>520</v>
      </c>
      <c r="G248" s="37" t="s">
        <v>458</v>
      </c>
      <c r="H248" s="38">
        <v>317001</v>
      </c>
      <c r="I248" s="41" t="str">
        <f>IF(H248&lt;=0,"",VLOOKUP(H248,[3]COG!A:H,2,0))</f>
        <v>Servicios de acceso de Internet, redes y procesamiento de información</v>
      </c>
      <c r="J248" s="39">
        <v>1830</v>
      </c>
      <c r="K248" s="39">
        <v>1830</v>
      </c>
      <c r="L248" s="39">
        <v>1220</v>
      </c>
      <c r="M248" s="39">
        <v>0</v>
      </c>
      <c r="N248" s="1">
        <f>Tabla4[[#This Row],[TRIMESTRE  I]]+Tabla4[[#This Row],[TRIMESTRE II]]+Tabla4[[#This Row],[TRIMESTRE III]]+Tabla4[[#This Row],[TRIMESTRE IV]]</f>
        <v>4880</v>
      </c>
      <c r="O248" s="39" t="s">
        <v>6</v>
      </c>
      <c r="P248" s="79">
        <v>45657</v>
      </c>
      <c r="Q248" s="59"/>
    </row>
    <row r="249" spans="2:17" ht="56.25" x14ac:dyDescent="0.2">
      <c r="B249" s="34">
        <v>436</v>
      </c>
      <c r="C249" s="35" t="s">
        <v>519</v>
      </c>
      <c r="D249" s="36">
        <v>530</v>
      </c>
      <c r="E249" s="42" t="str">
        <f>IF(D249&lt;=0,"",VLOOKUP(D249,[1]FF!A:D,2,0))</f>
        <v>PARTICIPACIONES Ramo 28</v>
      </c>
      <c r="F249" s="37" t="s">
        <v>520</v>
      </c>
      <c r="G249" s="37" t="s">
        <v>458</v>
      </c>
      <c r="H249" s="38">
        <v>318001</v>
      </c>
      <c r="I249" s="41" t="str">
        <f>IF(H249&lt;=0,"",VLOOKUP(H249,[3]COG!A:H,2,0))</f>
        <v>Servicio postal y telegráfico</v>
      </c>
      <c r="J249" s="39">
        <v>6500</v>
      </c>
      <c r="K249" s="39">
        <v>0</v>
      </c>
      <c r="L249" s="39">
        <v>0</v>
      </c>
      <c r="M249" s="39">
        <v>0</v>
      </c>
      <c r="N249" s="1">
        <f>Tabla4[[#This Row],[TRIMESTRE  I]]+Tabla4[[#This Row],[TRIMESTRE II]]+Tabla4[[#This Row],[TRIMESTRE III]]+Tabla4[[#This Row],[TRIMESTRE IV]]</f>
        <v>6500</v>
      </c>
      <c r="O249" s="39" t="s">
        <v>6</v>
      </c>
      <c r="P249" s="79">
        <v>45657</v>
      </c>
      <c r="Q249" s="59" t="s">
        <v>522</v>
      </c>
    </row>
    <row r="250" spans="2:17" ht="56.25" x14ac:dyDescent="0.2">
      <c r="B250" s="34">
        <v>436</v>
      </c>
      <c r="C250" s="35" t="s">
        <v>519</v>
      </c>
      <c r="D250" s="36">
        <v>530</v>
      </c>
      <c r="E250" s="42" t="str">
        <f>IF(D250&lt;=0,"",VLOOKUP(D250,[1]FF!A:D,2,0))</f>
        <v>PARTICIPACIONES Ramo 28</v>
      </c>
      <c r="F250" s="37" t="s">
        <v>520</v>
      </c>
      <c r="G250" s="37" t="s">
        <v>458</v>
      </c>
      <c r="H250" s="38">
        <v>323001</v>
      </c>
      <c r="I250" s="41" t="str">
        <f>IF(H250&lt;=0,"",VLOOKUP(H250,[3]COG!A:H,2,0))</f>
        <v>Arrendamiento de maquinaria y equipo</v>
      </c>
      <c r="J250" s="39">
        <v>6960</v>
      </c>
      <c r="K250" s="39">
        <v>6960</v>
      </c>
      <c r="L250" s="39">
        <v>6960</v>
      </c>
      <c r="M250" s="39">
        <v>6960</v>
      </c>
      <c r="N250" s="1">
        <f>Tabla4[[#This Row],[TRIMESTRE  I]]+Tabla4[[#This Row],[TRIMESTRE II]]+Tabla4[[#This Row],[TRIMESTRE III]]+Tabla4[[#This Row],[TRIMESTRE IV]]</f>
        <v>27840</v>
      </c>
      <c r="O250" s="39" t="s">
        <v>5</v>
      </c>
      <c r="P250" s="79">
        <v>45657</v>
      </c>
      <c r="Q250" s="79" t="s">
        <v>521</v>
      </c>
    </row>
    <row r="251" spans="2:17" ht="56.25" x14ac:dyDescent="0.2">
      <c r="B251" s="34">
        <v>436</v>
      </c>
      <c r="C251" s="35" t="s">
        <v>519</v>
      </c>
      <c r="D251" s="36">
        <v>530</v>
      </c>
      <c r="E251" s="42" t="str">
        <f>IF(D251&lt;=0,"",VLOOKUP(D251,[1]FF!A:D,2,0))</f>
        <v>PARTICIPACIONES Ramo 28</v>
      </c>
      <c r="F251" s="37" t="s">
        <v>520</v>
      </c>
      <c r="G251" s="37" t="s">
        <v>458</v>
      </c>
      <c r="H251" s="38">
        <v>334001</v>
      </c>
      <c r="I251" s="41" t="str">
        <f>IF(H251&lt;=0,"",VLOOKUP(H251,[3]COG!A:H,2,0))</f>
        <v>Cuotas e inscripciones</v>
      </c>
      <c r="J251" s="39">
        <v>5154</v>
      </c>
      <c r="K251" s="39">
        <v>5100</v>
      </c>
      <c r="L251" s="39">
        <v>0</v>
      </c>
      <c r="M251" s="39">
        <v>0</v>
      </c>
      <c r="N251" s="1">
        <f>Tabla4[[#This Row],[TRIMESTRE  I]]+Tabla4[[#This Row],[TRIMESTRE II]]+Tabla4[[#This Row],[TRIMESTRE III]]+Tabla4[[#This Row],[TRIMESTRE IV]]</f>
        <v>10254</v>
      </c>
      <c r="O251" s="39" t="s">
        <v>6</v>
      </c>
      <c r="P251" s="79">
        <v>45657</v>
      </c>
      <c r="Q251" s="59" t="s">
        <v>522</v>
      </c>
    </row>
    <row r="252" spans="2:17" ht="56.25" x14ac:dyDescent="0.2">
      <c r="B252" s="34">
        <v>436</v>
      </c>
      <c r="C252" s="35" t="s">
        <v>519</v>
      </c>
      <c r="D252" s="36">
        <v>530</v>
      </c>
      <c r="E252" s="42" t="str">
        <f>IF(D252&lt;=0,"",VLOOKUP(D252,[1]FF!A:D,2,0))</f>
        <v>PARTICIPACIONES Ramo 28</v>
      </c>
      <c r="F252" s="37" t="s">
        <v>520</v>
      </c>
      <c r="G252" s="37" t="s">
        <v>458</v>
      </c>
      <c r="H252" s="38">
        <v>351001</v>
      </c>
      <c r="I252" s="41" t="str">
        <f>IF(H252&lt;=0,"",VLOOKUP(H252,[3]COG!A:H,2,0))</f>
        <v>Mantenimiento de inmuebles</v>
      </c>
      <c r="J252" s="39">
        <v>7693</v>
      </c>
      <c r="K252" s="39">
        <v>0</v>
      </c>
      <c r="L252" s="39">
        <v>0</v>
      </c>
      <c r="M252" s="39">
        <v>0</v>
      </c>
      <c r="N252" s="1">
        <f>Tabla4[[#This Row],[TRIMESTRE  I]]+Tabla4[[#This Row],[TRIMESTRE II]]+Tabla4[[#This Row],[TRIMESTRE III]]+Tabla4[[#This Row],[TRIMESTRE IV]]</f>
        <v>7693</v>
      </c>
      <c r="O252" s="39" t="s">
        <v>6</v>
      </c>
      <c r="P252" s="79">
        <v>45657</v>
      </c>
      <c r="Q252" s="59" t="s">
        <v>522</v>
      </c>
    </row>
    <row r="253" spans="2:17" ht="56.25" x14ac:dyDescent="0.2">
      <c r="B253" s="34">
        <v>436</v>
      </c>
      <c r="C253" s="35" t="s">
        <v>519</v>
      </c>
      <c r="D253" s="36">
        <v>530</v>
      </c>
      <c r="E253" s="42" t="str">
        <f>IF(D253&lt;=0,"",VLOOKUP(D253,[1]FF!A:D,2,0))</f>
        <v>PARTICIPACIONES Ramo 28</v>
      </c>
      <c r="F253" s="37" t="s">
        <v>520</v>
      </c>
      <c r="G253" s="37" t="s">
        <v>458</v>
      </c>
      <c r="H253" s="38">
        <v>352001</v>
      </c>
      <c r="I253" s="41" t="str">
        <f>IF(H253&lt;=0,"",VLOOKUP(H253,[3]COG!A:H,2,0))</f>
        <v>Mantenimiento de mobiliario y equipo</v>
      </c>
      <c r="J253" s="39">
        <v>1700</v>
      </c>
      <c r="K253" s="39">
        <v>0</v>
      </c>
      <c r="L253" s="39">
        <v>1700</v>
      </c>
      <c r="M253" s="39">
        <v>1673</v>
      </c>
      <c r="N253" s="1">
        <f>Tabla4[[#This Row],[TRIMESTRE  I]]+Tabla4[[#This Row],[TRIMESTRE II]]+Tabla4[[#This Row],[TRIMESTRE III]]+Tabla4[[#This Row],[TRIMESTRE IV]]</f>
        <v>5073</v>
      </c>
      <c r="O253" s="39" t="s">
        <v>6</v>
      </c>
      <c r="P253" s="79">
        <v>45657</v>
      </c>
      <c r="Q253" s="59" t="s">
        <v>522</v>
      </c>
    </row>
    <row r="254" spans="2:17" ht="56.25" x14ac:dyDescent="0.2">
      <c r="B254" s="34">
        <v>436</v>
      </c>
      <c r="C254" s="35" t="s">
        <v>519</v>
      </c>
      <c r="D254" s="48">
        <v>530</v>
      </c>
      <c r="E254" s="43" t="str">
        <f>IF(D254&lt;=0,"",VLOOKUP(D254,[1]FF!A:D,2,0))</f>
        <v>PARTICIPACIONES Ramo 28</v>
      </c>
      <c r="F254" s="37" t="s">
        <v>520</v>
      </c>
      <c r="G254" s="37" t="s">
        <v>458</v>
      </c>
      <c r="H254" s="49">
        <v>355001</v>
      </c>
      <c r="I254" s="44" t="str">
        <f>IF(H254&lt;=0,"",VLOOKUP(H254,[3]COG!A:H,2,0))</f>
        <v>Mantto. y conservación de vehículos terrestres, aéreos, marítimos, lacustres y fluviales</v>
      </c>
      <c r="J254" s="50">
        <v>4000</v>
      </c>
      <c r="K254" s="50">
        <v>2032</v>
      </c>
      <c r="L254" s="50">
        <v>0</v>
      </c>
      <c r="M254" s="50">
        <v>0</v>
      </c>
      <c r="N254" s="1">
        <f>Tabla4[[#This Row],[TRIMESTRE  I]]+Tabla4[[#This Row],[TRIMESTRE II]]+Tabla4[[#This Row],[TRIMESTRE III]]+Tabla4[[#This Row],[TRIMESTRE IV]]</f>
        <v>6032</v>
      </c>
      <c r="O254" s="39" t="s">
        <v>6</v>
      </c>
      <c r="P254" s="79">
        <v>45657</v>
      </c>
      <c r="Q254" s="59" t="s">
        <v>522</v>
      </c>
    </row>
    <row r="255" spans="2:17" ht="56.25" x14ac:dyDescent="0.2">
      <c r="B255" s="34">
        <v>436</v>
      </c>
      <c r="C255" s="35" t="s">
        <v>519</v>
      </c>
      <c r="D255" s="48">
        <v>530</v>
      </c>
      <c r="E255" s="43" t="str">
        <f>IF(D255&lt;=0,"",VLOOKUP(D255,[1]FF!A:D,2,0))</f>
        <v>PARTICIPACIONES Ramo 28</v>
      </c>
      <c r="F255" s="37" t="s">
        <v>520</v>
      </c>
      <c r="G255" s="37" t="s">
        <v>458</v>
      </c>
      <c r="H255" s="49">
        <v>371001</v>
      </c>
      <c r="I255" s="44" t="str">
        <f>IF(H255&lt;=0,"",VLOOKUP(H255,[3]COG!A:H,2,0))</f>
        <v>Pasajes aéreos</v>
      </c>
      <c r="J255" s="50">
        <v>59925</v>
      </c>
      <c r="K255" s="50">
        <v>49300</v>
      </c>
      <c r="L255" s="50">
        <v>44200</v>
      </c>
      <c r="M255" s="50">
        <v>25941</v>
      </c>
      <c r="N255" s="1">
        <f>Tabla4[[#This Row],[TRIMESTRE  I]]+Tabla4[[#This Row],[TRIMESTRE II]]+Tabla4[[#This Row],[TRIMESTRE III]]+Tabla4[[#This Row],[TRIMESTRE IV]]</f>
        <v>179366</v>
      </c>
      <c r="O255" s="39" t="s">
        <v>5</v>
      </c>
      <c r="P255" s="79">
        <v>45657</v>
      </c>
      <c r="Q255" s="59" t="s">
        <v>521</v>
      </c>
    </row>
    <row r="256" spans="2:17" ht="56.25" x14ac:dyDescent="0.2">
      <c r="B256" s="34">
        <v>436</v>
      </c>
      <c r="C256" s="35" t="s">
        <v>519</v>
      </c>
      <c r="D256" s="48">
        <v>530</v>
      </c>
      <c r="E256" s="43" t="str">
        <f>IF(D256&lt;=0,"",VLOOKUP(D256,[1]FF!A:D,2,0))</f>
        <v>PARTICIPACIONES Ramo 28</v>
      </c>
      <c r="F256" s="37" t="s">
        <v>520</v>
      </c>
      <c r="G256" s="37" t="s">
        <v>458</v>
      </c>
      <c r="H256" s="49">
        <v>382002</v>
      </c>
      <c r="I256" s="44" t="str">
        <f>IF(H256&lt;=0,"",VLOOKUP(H256,[3]COG!A:H,2,0))</f>
        <v>Gastos de recepción, conmemorativos y de orden social</v>
      </c>
      <c r="J256" s="50">
        <v>6500</v>
      </c>
      <c r="K256" s="50">
        <v>5000</v>
      </c>
      <c r="L256" s="50">
        <v>3993</v>
      </c>
      <c r="M256" s="50">
        <v>2600</v>
      </c>
      <c r="N256" s="1">
        <f>Tabla4[[#This Row],[TRIMESTRE  I]]+Tabla4[[#This Row],[TRIMESTRE II]]+Tabla4[[#This Row],[TRIMESTRE III]]+Tabla4[[#This Row],[TRIMESTRE IV]]</f>
        <v>18093</v>
      </c>
      <c r="O256" s="39" t="s">
        <v>6</v>
      </c>
      <c r="P256" s="79">
        <v>45657</v>
      </c>
      <c r="Q256" s="59" t="s">
        <v>522</v>
      </c>
    </row>
    <row r="257" spans="2:17" ht="56.25" x14ac:dyDescent="0.2">
      <c r="B257" s="46">
        <v>436</v>
      </c>
      <c r="C257" s="47" t="s">
        <v>519</v>
      </c>
      <c r="D257" s="48">
        <v>530</v>
      </c>
      <c r="E257" s="43" t="str">
        <f>IF(D257&lt;=0,"",VLOOKUP(D257,[1]FF!A:D,2,0))</f>
        <v>PARTICIPACIONES Ramo 28</v>
      </c>
      <c r="F257" s="37" t="s">
        <v>520</v>
      </c>
      <c r="G257" s="37" t="s">
        <v>458</v>
      </c>
      <c r="H257" s="49">
        <v>375001</v>
      </c>
      <c r="I257" s="44" t="str">
        <f>IF(H257&lt;=0,"",VLOOKUP(H257,[3]COG!A:H,2,0))</f>
        <v>Viáticos</v>
      </c>
      <c r="J257" s="50">
        <v>51624</v>
      </c>
      <c r="K257" s="50">
        <v>41585</v>
      </c>
      <c r="L257" s="50">
        <v>29443</v>
      </c>
      <c r="M257" s="50">
        <v>31090</v>
      </c>
      <c r="N257" s="1">
        <f>Tabla4[[#This Row],[TRIMESTRE  I]]+Tabla4[[#This Row],[TRIMESTRE II]]+Tabla4[[#This Row],[TRIMESTRE III]]+Tabla4[[#This Row],[TRIMESTRE IV]]</f>
        <v>153742</v>
      </c>
      <c r="O257" s="39" t="s">
        <v>6</v>
      </c>
      <c r="P257" s="79">
        <v>45657</v>
      </c>
      <c r="Q257" s="59" t="s">
        <v>522</v>
      </c>
    </row>
    <row r="258" spans="2:17" x14ac:dyDescent="0.2">
      <c r="B258" s="34"/>
      <c r="C258" s="35"/>
      <c r="D258" s="36"/>
      <c r="E258" s="42"/>
      <c r="F258" s="37"/>
      <c r="G258" s="37"/>
      <c r="H258" s="38"/>
      <c r="I258" s="41"/>
      <c r="J258" s="39"/>
      <c r="K258" s="39"/>
      <c r="L258" s="39"/>
      <c r="M258" s="39"/>
      <c r="N258" s="1">
        <f>SUBTOTAL(109,Tabla4[[PRESUPUESTO ANUAL AUTORIZADO ]])</f>
        <v>755141</v>
      </c>
      <c r="O258" s="39"/>
      <c r="P258" s="79"/>
      <c r="Q258" s="59"/>
    </row>
    <row r="259" spans="2:17" x14ac:dyDescent="0.2">
      <c r="B259" s="46"/>
      <c r="C259" s="47"/>
      <c r="D259" s="48"/>
      <c r="E259" s="43"/>
      <c r="F259" s="37"/>
      <c r="G259" s="37"/>
      <c r="H259" s="49"/>
      <c r="I259" s="44"/>
      <c r="J259" s="50"/>
      <c r="K259" s="50"/>
      <c r="L259" s="50"/>
      <c r="M259" s="50"/>
      <c r="N259" s="1"/>
      <c r="O259" s="39"/>
      <c r="P259" s="79"/>
      <c r="Q259" s="59"/>
    </row>
    <row r="260" spans="2:17" ht="23.25" x14ac:dyDescent="0.2">
      <c r="B260" s="111" t="s">
        <v>4</v>
      </c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</row>
    <row r="261" spans="2:17" ht="23.25" x14ac:dyDescent="0.2">
      <c r="B261" s="109" t="s">
        <v>742</v>
      </c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</row>
    <row r="262" spans="2:17" ht="23.25" x14ac:dyDescent="0.2">
      <c r="B262" s="110" t="s">
        <v>466</v>
      </c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</row>
    <row r="263" spans="2:17" ht="45.75" thickBot="1" x14ac:dyDescent="0.25">
      <c r="B263" s="87" t="s">
        <v>9</v>
      </c>
      <c r="C263" s="87" t="s">
        <v>10</v>
      </c>
      <c r="D263" s="87" t="s">
        <v>1</v>
      </c>
      <c r="E263" s="87" t="s">
        <v>0</v>
      </c>
      <c r="F263" s="88" t="s">
        <v>17</v>
      </c>
      <c r="G263" s="87" t="s">
        <v>2</v>
      </c>
      <c r="H263" s="87" t="s">
        <v>11</v>
      </c>
      <c r="I263" s="87" t="s">
        <v>16</v>
      </c>
      <c r="J263" s="87" t="s">
        <v>465</v>
      </c>
      <c r="K263" s="87" t="s">
        <v>462</v>
      </c>
      <c r="L263" s="87" t="s">
        <v>463</v>
      </c>
      <c r="M263" s="87" t="s">
        <v>464</v>
      </c>
      <c r="N263" s="87" t="s">
        <v>12</v>
      </c>
      <c r="O263" s="87" t="s">
        <v>3</v>
      </c>
      <c r="P263" s="87" t="s">
        <v>13</v>
      </c>
      <c r="Q263" s="87" t="s">
        <v>8</v>
      </c>
    </row>
    <row r="264" spans="2:17" x14ac:dyDescent="0.2">
      <c r="B264" s="34">
        <v>501043</v>
      </c>
      <c r="C264" s="35" t="s">
        <v>523</v>
      </c>
      <c r="D264" s="36">
        <v>530</v>
      </c>
      <c r="E264" s="42" t="str">
        <f>IF(D264&lt;=0,"",VLOOKUP(D264,[1]FF!A:D,2,0))</f>
        <v>PARTICIPACIONES Ramo 28</v>
      </c>
      <c r="F264" s="37" t="s">
        <v>524</v>
      </c>
      <c r="G264" s="37" t="s">
        <v>461</v>
      </c>
      <c r="H264" s="38">
        <v>212001</v>
      </c>
      <c r="I264" s="41" t="str">
        <f>IF(H264&lt;=0,"",VLOOKUP(H264,[4]COG!A:H,2,0))</f>
        <v>Material y útiles de impresión</v>
      </c>
      <c r="J264" s="39">
        <v>972</v>
      </c>
      <c r="K264" s="39">
        <v>1458</v>
      </c>
      <c r="L264" s="39"/>
      <c r="M264" s="39"/>
      <c r="N264" s="1">
        <f>Tabla5[[#This Row],[TRIMESTRE  I]]+Tabla5[[#This Row],[TRIMESTRE II]]+Tabla5[[#This Row],[TRIMESTRE III]]+Tabla5[[#This Row],[TRIMESTRE IV]]</f>
        <v>2430</v>
      </c>
      <c r="O264" s="39"/>
      <c r="P264" s="79"/>
      <c r="Q264" s="59"/>
    </row>
    <row r="265" spans="2:17" ht="27" x14ac:dyDescent="0.2">
      <c r="B265" s="34">
        <v>501043</v>
      </c>
      <c r="C265" s="35" t="s">
        <v>523</v>
      </c>
      <c r="D265" s="36">
        <v>530</v>
      </c>
      <c r="E265" s="42" t="str">
        <f>IF(D265&lt;=0,"",VLOOKUP(D265,[1]FF!A:D,2,0))</f>
        <v>PARTICIPACIONES Ramo 28</v>
      </c>
      <c r="F265" s="37" t="s">
        <v>524</v>
      </c>
      <c r="G265" s="37" t="s">
        <v>461</v>
      </c>
      <c r="H265" s="38">
        <v>214001</v>
      </c>
      <c r="I265" s="41" t="str">
        <f>IF(H265&lt;=0,"",VLOOKUP(H265,[4]COG!A:H,2,0))</f>
        <v>Materiales, útiles y equipos menores de tecnologías de la información y comunicaciones</v>
      </c>
      <c r="J265" s="39">
        <v>0</v>
      </c>
      <c r="K265" s="39">
        <v>0</v>
      </c>
      <c r="L265" s="39"/>
      <c r="M265" s="39"/>
      <c r="N265" s="1">
        <f>Tabla5[[#This Row],[TRIMESTRE  I]]+Tabla5[[#This Row],[TRIMESTRE II]]+Tabla5[[#This Row],[TRIMESTRE III]]+Tabla5[[#This Row],[TRIMESTRE IV]]</f>
        <v>0</v>
      </c>
      <c r="O265" s="39"/>
      <c r="P265" s="79"/>
      <c r="Q265" s="59"/>
    </row>
    <row r="266" spans="2:17" x14ac:dyDescent="0.2">
      <c r="B266" s="34">
        <v>501043</v>
      </c>
      <c r="C266" s="35" t="s">
        <v>523</v>
      </c>
      <c r="D266" s="36">
        <v>530</v>
      </c>
      <c r="E266" s="42" t="str">
        <f>IF(D266&lt;=0,"",VLOOKUP(D266,[1]FF!A:D,2,0))</f>
        <v>PARTICIPACIONES Ramo 28</v>
      </c>
      <c r="F266" s="37" t="s">
        <v>524</v>
      </c>
      <c r="G266" s="37" t="s">
        <v>461</v>
      </c>
      <c r="H266" s="38">
        <v>216001</v>
      </c>
      <c r="I266" s="41" t="str">
        <f>IF(H266&lt;=0,"",VLOOKUP(H266,[4]COG!A:H,2,0))</f>
        <v>Material de limpieza</v>
      </c>
      <c r="J266" s="39">
        <v>1029</v>
      </c>
      <c r="K266" s="39">
        <v>0</v>
      </c>
      <c r="L266" s="39"/>
      <c r="M266" s="39"/>
      <c r="N266" s="1">
        <f>Tabla5[[#This Row],[TRIMESTRE  I]]+Tabla5[[#This Row],[TRIMESTRE II]]+Tabla5[[#This Row],[TRIMESTRE III]]+Tabla5[[#This Row],[TRIMESTRE IV]]</f>
        <v>1029</v>
      </c>
      <c r="O266" s="39"/>
      <c r="P266" s="79"/>
      <c r="Q266" s="59"/>
    </row>
    <row r="267" spans="2:17" x14ac:dyDescent="0.2">
      <c r="B267" s="34">
        <v>501043</v>
      </c>
      <c r="C267" s="35" t="s">
        <v>523</v>
      </c>
      <c r="D267" s="36">
        <v>530</v>
      </c>
      <c r="E267" s="42" t="str">
        <f>IF(D267&lt;=0,"",VLOOKUP(D267,[1]FF!A:D,2,0))</f>
        <v>PARTICIPACIONES Ramo 28</v>
      </c>
      <c r="F267" s="37" t="s">
        <v>524</v>
      </c>
      <c r="G267" s="37" t="s">
        <v>461</v>
      </c>
      <c r="H267" s="38">
        <v>221001</v>
      </c>
      <c r="I267" s="41" t="str">
        <f>IF(H267&lt;=0,"",VLOOKUP(H267,[4]COG!A:H,2,0))</f>
        <v>Alimentación de personas</v>
      </c>
      <c r="J267" s="39">
        <v>0</v>
      </c>
      <c r="K267" s="39">
        <v>0</v>
      </c>
      <c r="L267" s="39"/>
      <c r="M267" s="39"/>
      <c r="N267" s="1">
        <f>Tabla5[[#This Row],[TRIMESTRE  I]]+Tabla5[[#This Row],[TRIMESTRE II]]+Tabla5[[#This Row],[TRIMESTRE III]]+Tabla5[[#This Row],[TRIMESTRE IV]]</f>
        <v>0</v>
      </c>
      <c r="O267" s="39"/>
      <c r="P267" s="79"/>
      <c r="Q267" s="59"/>
    </row>
    <row r="268" spans="2:17" x14ac:dyDescent="0.2">
      <c r="B268" s="34">
        <v>501043</v>
      </c>
      <c r="C268" s="35" t="s">
        <v>523</v>
      </c>
      <c r="D268" s="36">
        <v>530</v>
      </c>
      <c r="E268" s="42" t="str">
        <f>IF(D268&lt;=0,"",VLOOKUP(D268,[1]FF!A:D,2,0))</f>
        <v>PARTICIPACIONES Ramo 28</v>
      </c>
      <c r="F268" s="37" t="s">
        <v>524</v>
      </c>
      <c r="G268" s="37" t="s">
        <v>461</v>
      </c>
      <c r="H268" s="38">
        <v>271001</v>
      </c>
      <c r="I268" s="41" t="str">
        <f>IF(H268&lt;=0,"",VLOOKUP(H268,[4]COG!A:H,2,0))</f>
        <v>Ropa, vestuario y equipo</v>
      </c>
      <c r="J268" s="39">
        <v>321</v>
      </c>
      <c r="K268" s="39">
        <v>321</v>
      </c>
      <c r="L268" s="39"/>
      <c r="M268" s="39"/>
      <c r="N268" s="1">
        <f>Tabla5[[#This Row],[TRIMESTRE  I]]+Tabla5[[#This Row],[TRIMESTRE II]]+Tabla5[[#This Row],[TRIMESTRE III]]+Tabla5[[#This Row],[TRIMESTRE IV]]</f>
        <v>642</v>
      </c>
      <c r="O268" s="39"/>
      <c r="P268" s="79"/>
      <c r="Q268" s="59"/>
    </row>
    <row r="269" spans="2:17" x14ac:dyDescent="0.2">
      <c r="B269" s="34">
        <v>501043</v>
      </c>
      <c r="C269" s="35" t="s">
        <v>523</v>
      </c>
      <c r="D269" s="36">
        <v>530</v>
      </c>
      <c r="E269" s="42" t="str">
        <f>IF(D269&lt;=0,"",VLOOKUP(D269,[1]FF!A:D,2,0))</f>
        <v>PARTICIPACIONES Ramo 28</v>
      </c>
      <c r="F269" s="37" t="s">
        <v>524</v>
      </c>
      <c r="G269" s="37" t="s">
        <v>461</v>
      </c>
      <c r="H269" s="38">
        <v>291001</v>
      </c>
      <c r="I269" s="41" t="str">
        <f>IF(H269&lt;=0,"",VLOOKUP(H269,[4]COG!A:H,2,0))</f>
        <v>Herramientas Auxiliares de Trabajo</v>
      </c>
      <c r="J269" s="39">
        <v>0</v>
      </c>
      <c r="K269" s="39">
        <v>0</v>
      </c>
      <c r="L269" s="39"/>
      <c r="M269" s="39"/>
      <c r="N269" s="1">
        <f>Tabla5[[#This Row],[TRIMESTRE  I]]+Tabla5[[#This Row],[TRIMESTRE II]]+Tabla5[[#This Row],[TRIMESTRE III]]+Tabla5[[#This Row],[TRIMESTRE IV]]</f>
        <v>0</v>
      </c>
      <c r="O269" s="39"/>
      <c r="P269" s="79"/>
      <c r="Q269" s="59"/>
    </row>
    <row r="270" spans="2:17" ht="27" x14ac:dyDescent="0.2">
      <c r="B270" s="34">
        <v>501043</v>
      </c>
      <c r="C270" s="35" t="s">
        <v>523</v>
      </c>
      <c r="D270" s="36">
        <v>530</v>
      </c>
      <c r="E270" s="42" t="str">
        <f>IF(D270&lt;=0,"",VLOOKUP(D270,[1]FF!A:D,2,0))</f>
        <v>PARTICIPACIONES Ramo 28</v>
      </c>
      <c r="F270" s="37" t="s">
        <v>524</v>
      </c>
      <c r="G270" s="37" t="s">
        <v>461</v>
      </c>
      <c r="H270" s="38">
        <v>293001</v>
      </c>
      <c r="I270" s="41" t="str">
        <f>IF(H270&lt;=0,"",VLOOKUP(H270,[4]COG!A:H,2,0))</f>
        <v>Refacciones y accesorios menores de mobiliario y equipo de administración, educacional y recreativo</v>
      </c>
      <c r="J270" s="39">
        <v>0</v>
      </c>
      <c r="K270" s="39">
        <v>0</v>
      </c>
      <c r="L270" s="39"/>
      <c r="M270" s="39"/>
      <c r="N270" s="1">
        <f>Tabla5[[#This Row],[TRIMESTRE  I]]+Tabla5[[#This Row],[TRIMESTRE II]]+Tabla5[[#This Row],[TRIMESTRE III]]+Tabla5[[#This Row],[TRIMESTRE IV]]</f>
        <v>0</v>
      </c>
      <c r="O270" s="39"/>
      <c r="P270" s="79"/>
      <c r="Q270" s="59"/>
    </row>
    <row r="271" spans="2:17" ht="18" x14ac:dyDescent="0.2">
      <c r="B271" s="34">
        <v>501043</v>
      </c>
      <c r="C271" s="35" t="s">
        <v>523</v>
      </c>
      <c r="D271" s="36">
        <v>530</v>
      </c>
      <c r="E271" s="42" t="str">
        <f>IF(D271&lt;=0,"",VLOOKUP(D271,[1]FF!A:D,2,0))</f>
        <v>PARTICIPACIONES Ramo 28</v>
      </c>
      <c r="F271" s="37" t="s">
        <v>524</v>
      </c>
      <c r="G271" s="37" t="s">
        <v>461</v>
      </c>
      <c r="H271" s="38">
        <v>294001</v>
      </c>
      <c r="I271" s="41" t="str">
        <f>IF(H271&lt;=0,"",VLOOKUP(H271,[4]COG!A:H,2,0))</f>
        <v>Dispositivos Internos y Externos de Equipo de Computo</v>
      </c>
      <c r="J271" s="39">
        <v>0</v>
      </c>
      <c r="K271" s="39">
        <v>0</v>
      </c>
      <c r="L271" s="39"/>
      <c r="M271" s="39"/>
      <c r="N271" s="1">
        <f>Tabla5[[#This Row],[TRIMESTRE  I]]+Tabla5[[#This Row],[TRIMESTRE II]]+Tabla5[[#This Row],[TRIMESTRE III]]+Tabla5[[#This Row],[TRIMESTRE IV]]</f>
        <v>0</v>
      </c>
      <c r="O271" s="39"/>
      <c r="P271" s="79"/>
      <c r="Q271" s="59"/>
    </row>
    <row r="272" spans="2:17" ht="18" x14ac:dyDescent="0.2">
      <c r="B272" s="34">
        <v>501043</v>
      </c>
      <c r="C272" s="35" t="s">
        <v>523</v>
      </c>
      <c r="D272" s="36">
        <v>530</v>
      </c>
      <c r="E272" s="42" t="str">
        <f>IF(D272&lt;=0,"",VLOOKUP(D272,[1]FF!A:D,2,0))</f>
        <v>PARTICIPACIONES Ramo 28</v>
      </c>
      <c r="F272" s="37" t="s">
        <v>524</v>
      </c>
      <c r="G272" s="37" t="s">
        <v>461</v>
      </c>
      <c r="H272" s="38">
        <v>299001</v>
      </c>
      <c r="I272" s="41" t="str">
        <f>IF(H272&lt;=0,"",VLOOKUP(H272,[4]COG!A:H,2,0))</f>
        <v>Refacciones y accesorios menores otros bienes muebles</v>
      </c>
      <c r="J272" s="39">
        <v>0</v>
      </c>
      <c r="K272" s="39">
        <v>0</v>
      </c>
      <c r="L272" s="39"/>
      <c r="M272" s="39"/>
      <c r="N272" s="1">
        <f>Tabla5[[#This Row],[TRIMESTRE  I]]+Tabla5[[#This Row],[TRIMESTRE II]]+Tabla5[[#This Row],[TRIMESTRE III]]+Tabla5[[#This Row],[TRIMESTRE IV]]</f>
        <v>0</v>
      </c>
      <c r="O272" s="39"/>
      <c r="P272" s="79"/>
      <c r="Q272" s="59"/>
    </row>
    <row r="273" spans="2:17" ht="22.5" x14ac:dyDescent="0.2">
      <c r="B273" s="34">
        <v>501044</v>
      </c>
      <c r="C273" s="35" t="s">
        <v>523</v>
      </c>
      <c r="D273" s="36">
        <v>530</v>
      </c>
      <c r="E273" s="42" t="str">
        <f>IF(D273&lt;=0,"",VLOOKUP(D273,[1]FF!A:D,2,0))</f>
        <v>PARTICIPACIONES Ramo 28</v>
      </c>
      <c r="F273" s="37" t="s">
        <v>525</v>
      </c>
      <c r="G273" s="37" t="s">
        <v>461</v>
      </c>
      <c r="H273" s="38">
        <v>211001</v>
      </c>
      <c r="I273" s="41" t="str">
        <f>IF(H273&lt;=0,"",VLOOKUP(H273,[4]COG!A:H,2,0))</f>
        <v>Material de oficina</v>
      </c>
      <c r="J273" s="39">
        <v>3967</v>
      </c>
      <c r="K273" s="39">
        <v>3919</v>
      </c>
      <c r="L273" s="39"/>
      <c r="M273" s="39"/>
      <c r="N273" s="1">
        <f>Tabla5[[#This Row],[TRIMESTRE  I]]+Tabla5[[#This Row],[TRIMESTRE II]]+Tabla5[[#This Row],[TRIMESTRE III]]+Tabla5[[#This Row],[TRIMESTRE IV]]</f>
        <v>7886</v>
      </c>
      <c r="O273" s="39"/>
      <c r="P273" s="79"/>
      <c r="Q273" s="59"/>
    </row>
    <row r="274" spans="2:17" ht="22.5" x14ac:dyDescent="0.2">
      <c r="B274" s="34">
        <v>501044</v>
      </c>
      <c r="C274" s="35" t="s">
        <v>523</v>
      </c>
      <c r="D274" s="36">
        <v>530</v>
      </c>
      <c r="E274" s="42" t="str">
        <f>IF(D274&lt;=0,"",VLOOKUP(D274,[1]FF!A:D,2,0))</f>
        <v>PARTICIPACIONES Ramo 28</v>
      </c>
      <c r="F274" s="37" t="s">
        <v>525</v>
      </c>
      <c r="G274" s="37" t="s">
        <v>461</v>
      </c>
      <c r="H274" s="38">
        <v>212001</v>
      </c>
      <c r="I274" s="41" t="str">
        <f>IF(H274&lt;=0,"",VLOOKUP(H274,[4]COG!A:H,2,0))</f>
        <v>Material y útiles de impresión</v>
      </c>
      <c r="J274" s="39">
        <v>2016</v>
      </c>
      <c r="K274" s="39">
        <v>2016</v>
      </c>
      <c r="L274" s="39"/>
      <c r="M274" s="39"/>
      <c r="N274" s="1">
        <f>Tabla5[[#This Row],[TRIMESTRE  I]]+Tabla5[[#This Row],[TRIMESTRE II]]+Tabla5[[#This Row],[TRIMESTRE III]]+Tabla5[[#This Row],[TRIMESTRE IV]]</f>
        <v>4032</v>
      </c>
      <c r="O274" s="39"/>
      <c r="P274" s="79"/>
      <c r="Q274" s="59"/>
    </row>
    <row r="275" spans="2:17" ht="22.5" x14ac:dyDescent="0.2">
      <c r="B275" s="34">
        <v>501044</v>
      </c>
      <c r="C275" s="35" t="s">
        <v>523</v>
      </c>
      <c r="D275" s="36">
        <v>530</v>
      </c>
      <c r="E275" s="42" t="str">
        <f>IF(D275&lt;=0,"",VLOOKUP(D275,[1]FF!A:D,2,0))</f>
        <v>PARTICIPACIONES Ramo 28</v>
      </c>
      <c r="F275" s="37" t="s">
        <v>525</v>
      </c>
      <c r="G275" s="37" t="s">
        <v>461</v>
      </c>
      <c r="H275" s="38">
        <v>215001</v>
      </c>
      <c r="I275" s="41" t="str">
        <f>IF(H275&lt;=0,"",VLOOKUP(H275,[4]COG!A:H,2,0))</f>
        <v>Material didáctico</v>
      </c>
      <c r="J275" s="39">
        <v>1122</v>
      </c>
      <c r="K275" s="39">
        <v>1122</v>
      </c>
      <c r="L275" s="39"/>
      <c r="M275" s="39"/>
      <c r="N275" s="1">
        <f>Tabla5[[#This Row],[TRIMESTRE  I]]+Tabla5[[#This Row],[TRIMESTRE II]]+Tabla5[[#This Row],[TRIMESTRE III]]+Tabla5[[#This Row],[TRIMESTRE IV]]</f>
        <v>2244</v>
      </c>
      <c r="O275" s="39"/>
      <c r="P275" s="79"/>
      <c r="Q275" s="59"/>
    </row>
    <row r="276" spans="2:17" ht="22.5" x14ac:dyDescent="0.2">
      <c r="B276" s="34">
        <v>501044</v>
      </c>
      <c r="C276" s="35" t="s">
        <v>523</v>
      </c>
      <c r="D276" s="36">
        <v>530</v>
      </c>
      <c r="E276" s="42" t="str">
        <f>IF(D276&lt;=0,"",VLOOKUP(D276,[1]FF!A:D,2,0))</f>
        <v>PARTICIPACIONES Ramo 28</v>
      </c>
      <c r="F276" s="37" t="s">
        <v>525</v>
      </c>
      <c r="G276" s="37" t="s">
        <v>461</v>
      </c>
      <c r="H276" s="38">
        <v>216001</v>
      </c>
      <c r="I276" s="41" t="str">
        <f>IF(H276&lt;=0,"",VLOOKUP(H276,[4]COG!A:H,2,0))</f>
        <v>Material de limpieza</v>
      </c>
      <c r="J276" s="39">
        <v>1089</v>
      </c>
      <c r="K276" s="39">
        <v>1089</v>
      </c>
      <c r="L276" s="39"/>
      <c r="M276" s="39"/>
      <c r="N276" s="1">
        <f>Tabla5[[#This Row],[TRIMESTRE  I]]+Tabla5[[#This Row],[TRIMESTRE II]]+Tabla5[[#This Row],[TRIMESTRE III]]+Tabla5[[#This Row],[TRIMESTRE IV]]</f>
        <v>2178</v>
      </c>
      <c r="O276" s="39"/>
      <c r="P276" s="79"/>
      <c r="Q276" s="59"/>
    </row>
    <row r="277" spans="2:17" ht="22.5" x14ac:dyDescent="0.2">
      <c r="B277" s="34">
        <v>501044</v>
      </c>
      <c r="C277" s="35" t="s">
        <v>523</v>
      </c>
      <c r="D277" s="36">
        <v>530</v>
      </c>
      <c r="E277" s="42" t="str">
        <f>IF(D277&lt;=0,"",VLOOKUP(D277,[1]FF!A:D,2,0))</f>
        <v>PARTICIPACIONES Ramo 28</v>
      </c>
      <c r="F277" s="37" t="s">
        <v>525</v>
      </c>
      <c r="G277" s="37" t="s">
        <v>461</v>
      </c>
      <c r="H277" s="38">
        <v>221001</v>
      </c>
      <c r="I277" s="41" t="str">
        <f>IF(H277&lt;=0,"",VLOOKUP(H277,[4]COG!A:H,2,0))</f>
        <v>Alimentación de personas</v>
      </c>
      <c r="J277" s="39">
        <v>0</v>
      </c>
      <c r="K277" s="39">
        <v>0</v>
      </c>
      <c r="L277" s="39"/>
      <c r="M277" s="39"/>
      <c r="N277" s="1">
        <f>Tabla5[[#This Row],[TRIMESTRE  I]]+Tabla5[[#This Row],[TRIMESTRE II]]+Tabla5[[#This Row],[TRIMESTRE III]]+Tabla5[[#This Row],[TRIMESTRE IV]]</f>
        <v>0</v>
      </c>
      <c r="O277" s="39"/>
      <c r="P277" s="79"/>
      <c r="Q277" s="59"/>
    </row>
    <row r="278" spans="2:17" ht="22.5" x14ac:dyDescent="0.2">
      <c r="B278" s="46">
        <v>501044</v>
      </c>
      <c r="C278" s="47" t="s">
        <v>523</v>
      </c>
      <c r="D278" s="48">
        <v>530</v>
      </c>
      <c r="E278" s="43" t="str">
        <f>IF(D278&lt;=0,"",VLOOKUP(D278,[1]FF!A:D,2,0))</f>
        <v>PARTICIPACIONES Ramo 28</v>
      </c>
      <c r="F278" s="37" t="s">
        <v>525</v>
      </c>
      <c r="G278" s="37" t="s">
        <v>461</v>
      </c>
      <c r="H278" s="49">
        <v>223001</v>
      </c>
      <c r="I278" s="44" t="str">
        <f>IF(H278&lt;=0,"",VLOOKUP(H278,[4]COG!A:H,2,0))</f>
        <v>Utensilios para el servicio de alimentación</v>
      </c>
      <c r="J278" s="39">
        <v>0</v>
      </c>
      <c r="K278" s="39">
        <v>0</v>
      </c>
      <c r="L278" s="50"/>
      <c r="M278" s="50"/>
      <c r="N278" s="1">
        <f>Tabla5[[#This Row],[TRIMESTRE  I]]+Tabla5[[#This Row],[TRIMESTRE II]]+Tabla5[[#This Row],[TRIMESTRE III]]+Tabla5[[#This Row],[TRIMESTRE IV]]</f>
        <v>0</v>
      </c>
      <c r="O278" s="39"/>
      <c r="P278" s="39"/>
      <c r="Q278" s="59"/>
    </row>
    <row r="279" spans="2:17" ht="22.5" x14ac:dyDescent="0.2">
      <c r="B279" s="46">
        <v>501044</v>
      </c>
      <c r="C279" s="47" t="s">
        <v>523</v>
      </c>
      <c r="D279" s="48">
        <v>530</v>
      </c>
      <c r="E279" s="43" t="str">
        <f>IF(D279&lt;=0,"",VLOOKUP(D279,[1]FF!A:D,2,0))</f>
        <v>PARTICIPACIONES Ramo 28</v>
      </c>
      <c r="F279" s="37" t="s">
        <v>525</v>
      </c>
      <c r="G279" s="37" t="s">
        <v>461</v>
      </c>
      <c r="H279" s="49">
        <v>246001</v>
      </c>
      <c r="I279" s="44" t="str">
        <f>IF(H279&lt;=0,"",VLOOKUP(H279,[4]COG!A:H,2,0))</f>
        <v>Material eléctrico</v>
      </c>
      <c r="J279" s="39">
        <v>0</v>
      </c>
      <c r="K279" s="39">
        <v>0</v>
      </c>
      <c r="L279" s="50"/>
      <c r="M279" s="50"/>
      <c r="N279" s="1">
        <f>Tabla5[[#This Row],[TRIMESTRE  I]]+Tabla5[[#This Row],[TRIMESTRE II]]+Tabla5[[#This Row],[TRIMESTRE III]]+Tabla5[[#This Row],[TRIMESTRE IV]]</f>
        <v>0</v>
      </c>
      <c r="O279" s="39"/>
      <c r="P279" s="39"/>
      <c r="Q279" s="59"/>
    </row>
    <row r="280" spans="2:17" ht="22.5" x14ac:dyDescent="0.2">
      <c r="B280" s="46">
        <v>501044</v>
      </c>
      <c r="C280" s="47" t="s">
        <v>523</v>
      </c>
      <c r="D280" s="48">
        <v>530</v>
      </c>
      <c r="E280" s="43" t="str">
        <f>IF(D280&lt;=0,"",VLOOKUP(D280,[1]FF!A:D,2,0))</f>
        <v>PARTICIPACIONES Ramo 28</v>
      </c>
      <c r="F280" s="37" t="s">
        <v>525</v>
      </c>
      <c r="G280" s="37" t="s">
        <v>461</v>
      </c>
      <c r="H280" s="49">
        <v>249001</v>
      </c>
      <c r="I280" s="44" t="str">
        <f>IF(H280&lt;=0,"",VLOOKUP(H280,[4]COG!A:H,2,0))</f>
        <v>Materiales de construcción y complementarios</v>
      </c>
      <c r="J280" s="39">
        <v>1872</v>
      </c>
      <c r="K280" s="39">
        <v>1872</v>
      </c>
      <c r="L280" s="50"/>
      <c r="M280" s="50"/>
      <c r="N280" s="1">
        <f>Tabla5[[#This Row],[TRIMESTRE  I]]+Tabla5[[#This Row],[TRIMESTRE II]]+Tabla5[[#This Row],[TRIMESTRE III]]+Tabla5[[#This Row],[TRIMESTRE IV]]</f>
        <v>3744</v>
      </c>
      <c r="O280" s="39"/>
      <c r="P280" s="39"/>
      <c r="Q280" s="59"/>
    </row>
    <row r="281" spans="2:17" ht="22.5" x14ac:dyDescent="0.2">
      <c r="B281" s="46">
        <v>501044</v>
      </c>
      <c r="C281" s="47" t="s">
        <v>523</v>
      </c>
      <c r="D281" s="48">
        <v>530</v>
      </c>
      <c r="E281" s="43" t="str">
        <f>IF(D281&lt;=0,"",VLOOKUP(D281,[1]FF!A:D,2,0))</f>
        <v>PARTICIPACIONES Ramo 28</v>
      </c>
      <c r="F281" s="37" t="s">
        <v>525</v>
      </c>
      <c r="G281" s="37" t="s">
        <v>461</v>
      </c>
      <c r="H281" s="49">
        <v>261001</v>
      </c>
      <c r="I281" s="44" t="str">
        <f>IF(H281&lt;=0,"",VLOOKUP(H281,[4]COG!A:H,2,0))</f>
        <v>Combustibles</v>
      </c>
      <c r="J281" s="39">
        <v>120264</v>
      </c>
      <c r="K281" s="39">
        <v>120264</v>
      </c>
      <c r="L281" s="50"/>
      <c r="M281" s="50"/>
      <c r="N281" s="1">
        <f>Tabla5[[#This Row],[TRIMESTRE  I]]+Tabla5[[#This Row],[TRIMESTRE II]]+Tabla5[[#This Row],[TRIMESTRE III]]+Tabla5[[#This Row],[TRIMESTRE IV]]</f>
        <v>240528</v>
      </c>
      <c r="O281" s="39"/>
      <c r="P281" s="39"/>
      <c r="Q281" s="59"/>
    </row>
    <row r="282" spans="2:17" ht="22.5" x14ac:dyDescent="0.2">
      <c r="B282" s="46">
        <v>501044</v>
      </c>
      <c r="C282" s="47" t="s">
        <v>523</v>
      </c>
      <c r="D282" s="48">
        <v>530</v>
      </c>
      <c r="E282" s="43" t="str">
        <f>IF(D282&lt;=0,"",VLOOKUP(D282,[1]FF!A:D,2,0))</f>
        <v>PARTICIPACIONES Ramo 28</v>
      </c>
      <c r="F282" s="37" t="s">
        <v>525</v>
      </c>
      <c r="G282" s="37" t="s">
        <v>461</v>
      </c>
      <c r="H282" s="49">
        <v>271001</v>
      </c>
      <c r="I282" s="44" t="str">
        <f>IF(H282&lt;=0,"",VLOOKUP(H282,[4]COG!A:H,2,0))</f>
        <v>Ropa, vestuario y equipo</v>
      </c>
      <c r="J282" s="39">
        <v>1020</v>
      </c>
      <c r="K282" s="39">
        <v>1020</v>
      </c>
      <c r="L282" s="50"/>
      <c r="M282" s="50"/>
      <c r="N282" s="1">
        <f>Tabla5[[#This Row],[TRIMESTRE  I]]+Tabla5[[#This Row],[TRIMESTRE II]]+Tabla5[[#This Row],[TRIMESTRE III]]+Tabla5[[#This Row],[TRIMESTRE IV]]</f>
        <v>2040</v>
      </c>
      <c r="O282" s="39"/>
      <c r="P282" s="39"/>
      <c r="Q282" s="59"/>
    </row>
    <row r="283" spans="2:17" ht="22.5" x14ac:dyDescent="0.2">
      <c r="B283" s="46">
        <v>501044</v>
      </c>
      <c r="C283" s="47" t="s">
        <v>523</v>
      </c>
      <c r="D283" s="48">
        <v>530</v>
      </c>
      <c r="E283" s="43" t="str">
        <f>IF(D283&lt;=0,"",VLOOKUP(D283,[1]FF!A:D,2,0))</f>
        <v>PARTICIPACIONES Ramo 28</v>
      </c>
      <c r="F283" s="37" t="s">
        <v>525</v>
      </c>
      <c r="G283" s="37" t="s">
        <v>461</v>
      </c>
      <c r="H283" s="49">
        <v>273001</v>
      </c>
      <c r="I283" s="44" t="str">
        <f>IF(H283&lt;=0,"",VLOOKUP(H283,[4]COG!A:H,2,0))</f>
        <v>Artículos deportivos</v>
      </c>
      <c r="J283" s="39">
        <v>1083</v>
      </c>
      <c r="K283" s="39">
        <v>1083</v>
      </c>
      <c r="L283" s="50"/>
      <c r="M283" s="50"/>
      <c r="N283" s="1">
        <f>Tabla5[[#This Row],[TRIMESTRE  I]]+Tabla5[[#This Row],[TRIMESTRE II]]+Tabla5[[#This Row],[TRIMESTRE III]]+Tabla5[[#This Row],[TRIMESTRE IV]]</f>
        <v>2166</v>
      </c>
      <c r="O283" s="39"/>
      <c r="P283" s="39"/>
      <c r="Q283" s="59"/>
    </row>
    <row r="284" spans="2:17" ht="22.5" x14ac:dyDescent="0.2">
      <c r="B284" s="46">
        <v>501044</v>
      </c>
      <c r="C284" s="47" t="s">
        <v>523</v>
      </c>
      <c r="D284" s="48">
        <v>530</v>
      </c>
      <c r="E284" s="43" t="str">
        <f>IF(D284&lt;=0,"",VLOOKUP(D284,[1]FF!A:D,2,0))</f>
        <v>PARTICIPACIONES Ramo 28</v>
      </c>
      <c r="F284" s="37" t="s">
        <v>525</v>
      </c>
      <c r="G284" s="37" t="s">
        <v>461</v>
      </c>
      <c r="H284" s="49">
        <v>294001</v>
      </c>
      <c r="I284" s="44" t="str">
        <f>IF(H284&lt;=0,"",VLOOKUP(H284,[4]COG!A:H,2,0))</f>
        <v>Dispositivos Internos y Externos de Equipo de Computo</v>
      </c>
      <c r="J284" s="39">
        <v>0</v>
      </c>
      <c r="K284" s="39">
        <v>0</v>
      </c>
      <c r="L284" s="50"/>
      <c r="M284" s="50"/>
      <c r="N284" s="1">
        <f>Tabla5[[#This Row],[TRIMESTRE  I]]+Tabla5[[#This Row],[TRIMESTRE II]]+Tabla5[[#This Row],[TRIMESTRE III]]+Tabla5[[#This Row],[TRIMESTRE IV]]</f>
        <v>0</v>
      </c>
      <c r="O284" s="39"/>
      <c r="P284" s="39"/>
      <c r="Q284" s="59"/>
    </row>
    <row r="285" spans="2:17" ht="22.5" x14ac:dyDescent="0.2">
      <c r="B285" s="46">
        <v>501044</v>
      </c>
      <c r="C285" s="47" t="s">
        <v>523</v>
      </c>
      <c r="D285" s="48">
        <v>530</v>
      </c>
      <c r="E285" s="43" t="str">
        <f>IF(D285&lt;=0,"",VLOOKUP(D285,[1]FF!A:D,2,0))</f>
        <v>PARTICIPACIONES Ramo 28</v>
      </c>
      <c r="F285" s="37" t="s">
        <v>525</v>
      </c>
      <c r="G285" s="37" t="s">
        <v>461</v>
      </c>
      <c r="H285" s="49">
        <v>296001</v>
      </c>
      <c r="I285" s="44" t="str">
        <f>IF(H285&lt;=0,"",VLOOKUP(H285,[4]COG!A:H,2,0))</f>
        <v>Herramientas, refacciones y accesorios</v>
      </c>
      <c r="J285" s="39">
        <v>801</v>
      </c>
      <c r="K285" s="39">
        <v>801</v>
      </c>
      <c r="L285" s="50"/>
      <c r="M285" s="50"/>
      <c r="N285" s="1">
        <f>Tabla5[[#This Row],[TRIMESTRE  I]]+Tabla5[[#This Row],[TRIMESTRE II]]+Tabla5[[#This Row],[TRIMESTRE III]]+Tabla5[[#This Row],[TRIMESTRE IV]]</f>
        <v>1602</v>
      </c>
      <c r="O285" s="39"/>
      <c r="P285" s="39"/>
      <c r="Q285" s="59"/>
    </row>
    <row r="286" spans="2:17" ht="22.5" x14ac:dyDescent="0.2">
      <c r="B286" s="46">
        <v>502045</v>
      </c>
      <c r="C286" s="47" t="s">
        <v>523</v>
      </c>
      <c r="D286" s="48">
        <v>530</v>
      </c>
      <c r="E286" s="43" t="str">
        <f>IF(D286&lt;=0,"",VLOOKUP(D286,[1]FF!A:D,2,0))</f>
        <v>PARTICIPACIONES Ramo 28</v>
      </c>
      <c r="F286" s="37" t="s">
        <v>526</v>
      </c>
      <c r="G286" s="37" t="s">
        <v>461</v>
      </c>
      <c r="H286" s="49">
        <v>211001</v>
      </c>
      <c r="I286" s="44" t="str">
        <f>IF(H286&lt;=0,"",VLOOKUP(H286,[4]COG!A:H,2,0))</f>
        <v>Material de oficina</v>
      </c>
      <c r="J286" s="39">
        <v>0</v>
      </c>
      <c r="K286" s="39">
        <v>0</v>
      </c>
      <c r="L286" s="50"/>
      <c r="M286" s="50"/>
      <c r="N286" s="1">
        <f>Tabla5[[#This Row],[TRIMESTRE  I]]+Tabla5[[#This Row],[TRIMESTRE II]]+Tabla5[[#This Row],[TRIMESTRE III]]+Tabla5[[#This Row],[TRIMESTRE IV]]</f>
        <v>0</v>
      </c>
      <c r="O286" s="39"/>
      <c r="P286" s="39"/>
      <c r="Q286" s="59"/>
    </row>
    <row r="287" spans="2:17" ht="27" x14ac:dyDescent="0.2">
      <c r="B287" s="46">
        <v>502045</v>
      </c>
      <c r="C287" s="47" t="s">
        <v>523</v>
      </c>
      <c r="D287" s="48">
        <v>530</v>
      </c>
      <c r="E287" s="43" t="str">
        <f>IF(D287&lt;=0,"",VLOOKUP(D287,[1]FF!A:D,2,0))</f>
        <v>PARTICIPACIONES Ramo 28</v>
      </c>
      <c r="F287" s="37" t="s">
        <v>526</v>
      </c>
      <c r="G287" s="37" t="s">
        <v>461</v>
      </c>
      <c r="H287" s="49">
        <v>214001</v>
      </c>
      <c r="I287" s="44" t="str">
        <f>IF(H287&lt;=0,"",VLOOKUP(H287,[4]COG!A:H,2,0))</f>
        <v>Materiales, útiles y equipos menores de tecnologías de la información y comunicaciones</v>
      </c>
      <c r="J287" s="39">
        <v>0</v>
      </c>
      <c r="K287" s="39">
        <v>0</v>
      </c>
      <c r="L287" s="50"/>
      <c r="M287" s="50"/>
      <c r="N287" s="1">
        <f>Tabla5[[#This Row],[TRIMESTRE  I]]+Tabla5[[#This Row],[TRIMESTRE II]]+Tabla5[[#This Row],[TRIMESTRE III]]+Tabla5[[#This Row],[TRIMESTRE IV]]</f>
        <v>0</v>
      </c>
      <c r="O287" s="39"/>
      <c r="P287" s="39"/>
      <c r="Q287" s="59"/>
    </row>
    <row r="288" spans="2:17" ht="22.5" x14ac:dyDescent="0.2">
      <c r="B288" s="46">
        <v>502045</v>
      </c>
      <c r="C288" s="47" t="s">
        <v>523</v>
      </c>
      <c r="D288" s="48">
        <v>530</v>
      </c>
      <c r="E288" s="43" t="str">
        <f>IF(D288&lt;=0,"",VLOOKUP(D288,[1]FF!A:D,2,0))</f>
        <v>PARTICIPACIONES Ramo 28</v>
      </c>
      <c r="F288" s="37" t="s">
        <v>526</v>
      </c>
      <c r="G288" s="37" t="s">
        <v>461</v>
      </c>
      <c r="H288" s="49">
        <v>216001</v>
      </c>
      <c r="I288" s="44" t="str">
        <f>IF(H288&lt;=0,"",VLOOKUP(H288,[4]COG!A:H,2,0))</f>
        <v>Material de limpieza</v>
      </c>
      <c r="J288" s="39">
        <v>0</v>
      </c>
      <c r="K288" s="39">
        <v>0</v>
      </c>
      <c r="L288" s="50"/>
      <c r="M288" s="50"/>
      <c r="N288" s="1">
        <f>Tabla5[[#This Row],[TRIMESTRE  I]]+Tabla5[[#This Row],[TRIMESTRE II]]+Tabla5[[#This Row],[TRIMESTRE III]]+Tabla5[[#This Row],[TRIMESTRE IV]]</f>
        <v>0</v>
      </c>
      <c r="O288" s="39"/>
      <c r="P288" s="39"/>
      <c r="Q288" s="59"/>
    </row>
    <row r="289" spans="2:17" ht="22.5" x14ac:dyDescent="0.2">
      <c r="B289" s="46">
        <v>502045</v>
      </c>
      <c r="C289" s="47" t="s">
        <v>523</v>
      </c>
      <c r="D289" s="48">
        <v>530</v>
      </c>
      <c r="E289" s="43" t="str">
        <f>IF(D289&lt;=0,"",VLOOKUP(D289,[1]FF!A:D,2,0))</f>
        <v>PARTICIPACIONES Ramo 28</v>
      </c>
      <c r="F289" s="37" t="s">
        <v>526</v>
      </c>
      <c r="G289" s="37" t="s">
        <v>461</v>
      </c>
      <c r="H289" s="49">
        <v>221001</v>
      </c>
      <c r="I289" s="44" t="str">
        <f>IF(H289&lt;=0,"",VLOOKUP(H289,[4]COG!A:H,2,0))</f>
        <v>Alimentación de personas</v>
      </c>
      <c r="J289" s="39">
        <v>0</v>
      </c>
      <c r="K289" s="39">
        <v>0</v>
      </c>
      <c r="L289" s="50"/>
      <c r="M289" s="50"/>
      <c r="N289" s="1">
        <f>Tabla5[[#This Row],[TRIMESTRE  I]]+Tabla5[[#This Row],[TRIMESTRE II]]+Tabla5[[#This Row],[TRIMESTRE III]]+Tabla5[[#This Row],[TRIMESTRE IV]]</f>
        <v>0</v>
      </c>
      <c r="O289" s="39"/>
      <c r="P289" s="39"/>
      <c r="Q289" s="59"/>
    </row>
    <row r="290" spans="2:17" ht="22.5" x14ac:dyDescent="0.2">
      <c r="B290" s="46">
        <v>502045</v>
      </c>
      <c r="C290" s="47" t="s">
        <v>523</v>
      </c>
      <c r="D290" s="48">
        <v>530</v>
      </c>
      <c r="E290" s="43" t="str">
        <f>IF(D290&lt;=0,"",VLOOKUP(D290,[1]FF!A:D,2,0))</f>
        <v>PARTICIPACIONES Ramo 28</v>
      </c>
      <c r="F290" s="37" t="s">
        <v>526</v>
      </c>
      <c r="G290" s="37" t="s">
        <v>461</v>
      </c>
      <c r="H290" s="49">
        <v>223001</v>
      </c>
      <c r="I290" s="44" t="str">
        <f>IF(H290&lt;=0,"",VLOOKUP(H290,[4]COG!A:H,2,0))</f>
        <v>Utensilios para el servicio de alimentación</v>
      </c>
      <c r="J290" s="39">
        <v>0</v>
      </c>
      <c r="K290" s="39">
        <v>0</v>
      </c>
      <c r="L290" s="50"/>
      <c r="M290" s="50"/>
      <c r="N290" s="1">
        <f>Tabla5[[#This Row],[TRIMESTRE  I]]+Tabla5[[#This Row],[TRIMESTRE II]]+Tabla5[[#This Row],[TRIMESTRE III]]+Tabla5[[#This Row],[TRIMESTRE IV]]</f>
        <v>0</v>
      </c>
      <c r="O290" s="39"/>
      <c r="P290" s="39"/>
      <c r="Q290" s="59"/>
    </row>
    <row r="291" spans="2:17" ht="22.5" x14ac:dyDescent="0.2">
      <c r="B291" s="46">
        <v>502045</v>
      </c>
      <c r="C291" s="47" t="s">
        <v>523</v>
      </c>
      <c r="D291" s="48">
        <v>530</v>
      </c>
      <c r="E291" s="43" t="str">
        <f>IF(D291&lt;=0,"",VLOOKUP(D291,[1]FF!A:D,2,0))</f>
        <v>PARTICIPACIONES Ramo 28</v>
      </c>
      <c r="F291" s="37" t="s">
        <v>526</v>
      </c>
      <c r="G291" s="37" t="s">
        <v>461</v>
      </c>
      <c r="H291" s="49">
        <v>259001</v>
      </c>
      <c r="I291" s="44" t="str">
        <f>IF(H291&lt;=0,"",VLOOKUP(H291,[4]COG!A:H,2,0))</f>
        <v>Otros productos químicos</v>
      </c>
      <c r="J291" s="39">
        <v>0</v>
      </c>
      <c r="K291" s="39">
        <v>0</v>
      </c>
      <c r="L291" s="50"/>
      <c r="M291" s="50"/>
      <c r="N291" s="1">
        <f>Tabla5[[#This Row],[TRIMESTRE  I]]+Tabla5[[#This Row],[TRIMESTRE II]]+Tabla5[[#This Row],[TRIMESTRE III]]+Tabla5[[#This Row],[TRIMESTRE IV]]</f>
        <v>0</v>
      </c>
      <c r="O291" s="39"/>
      <c r="P291" s="39"/>
      <c r="Q291" s="59"/>
    </row>
    <row r="292" spans="2:17" ht="22.5" x14ac:dyDescent="0.2">
      <c r="B292" s="46">
        <v>502045</v>
      </c>
      <c r="C292" s="47" t="s">
        <v>523</v>
      </c>
      <c r="D292" s="48">
        <v>530</v>
      </c>
      <c r="E292" s="43" t="str">
        <f>IF(D292&lt;=0,"",VLOOKUP(D292,[1]FF!A:D,2,0))</f>
        <v>PARTICIPACIONES Ramo 28</v>
      </c>
      <c r="F292" s="37" t="s">
        <v>526</v>
      </c>
      <c r="G292" s="37" t="s">
        <v>461</v>
      </c>
      <c r="H292" s="49">
        <v>294001</v>
      </c>
      <c r="I292" s="44" t="str">
        <f>IF(H292&lt;=0,"",VLOOKUP(H292,[4]COG!A:H,2,0))</f>
        <v>Dispositivos Internos y Externos de Equipo de Computo</v>
      </c>
      <c r="J292" s="39">
        <v>0</v>
      </c>
      <c r="K292" s="39">
        <v>0</v>
      </c>
      <c r="L292" s="50"/>
      <c r="M292" s="50"/>
      <c r="N292" s="1">
        <f>Tabla5[[#This Row],[TRIMESTRE  I]]+Tabla5[[#This Row],[TRIMESTRE II]]+Tabla5[[#This Row],[TRIMESTRE III]]+Tabla5[[#This Row],[TRIMESTRE IV]]</f>
        <v>0</v>
      </c>
      <c r="O292" s="39"/>
      <c r="P292" s="39"/>
      <c r="Q292" s="59"/>
    </row>
    <row r="293" spans="2:17" ht="22.5" x14ac:dyDescent="0.2">
      <c r="B293" s="46">
        <v>502046</v>
      </c>
      <c r="C293" s="47" t="s">
        <v>523</v>
      </c>
      <c r="D293" s="48">
        <v>530</v>
      </c>
      <c r="E293" s="43" t="str">
        <f>IF(D293&lt;=0,"",VLOOKUP(D293,[1]FF!A:D,2,0))</f>
        <v>PARTICIPACIONES Ramo 28</v>
      </c>
      <c r="F293" s="37" t="s">
        <v>527</v>
      </c>
      <c r="G293" s="37" t="s">
        <v>461</v>
      </c>
      <c r="H293" s="49">
        <v>211001</v>
      </c>
      <c r="I293" s="44" t="str">
        <f>IF(H293&lt;=0,"",VLOOKUP(H293,[4]COG!A:H,2,0))</f>
        <v>Material de oficina</v>
      </c>
      <c r="J293" s="39">
        <v>14436</v>
      </c>
      <c r="K293" s="39">
        <v>14436</v>
      </c>
      <c r="L293" s="50"/>
      <c r="M293" s="50"/>
      <c r="N293" s="1">
        <f>Tabla5[[#This Row],[TRIMESTRE  I]]+Tabla5[[#This Row],[TRIMESTRE II]]+Tabla5[[#This Row],[TRIMESTRE III]]+Tabla5[[#This Row],[TRIMESTRE IV]]</f>
        <v>28872</v>
      </c>
      <c r="O293" s="39"/>
      <c r="P293" s="39"/>
      <c r="Q293" s="59"/>
    </row>
    <row r="294" spans="2:17" ht="22.5" x14ac:dyDescent="0.2">
      <c r="B294" s="46">
        <v>502046</v>
      </c>
      <c r="C294" s="47" t="s">
        <v>523</v>
      </c>
      <c r="D294" s="48">
        <v>530</v>
      </c>
      <c r="E294" s="43" t="str">
        <f>IF(D294&lt;=0,"",VLOOKUP(D294,[1]FF!A:D,2,0))</f>
        <v>PARTICIPACIONES Ramo 28</v>
      </c>
      <c r="F294" s="37" t="s">
        <v>527</v>
      </c>
      <c r="G294" s="37" t="s">
        <v>461</v>
      </c>
      <c r="H294" s="49">
        <v>212001</v>
      </c>
      <c r="I294" s="44" t="str">
        <f>IF(H294&lt;=0,"",VLOOKUP(H294,[4]COG!A:H,2,0))</f>
        <v>Material y útiles de impresión</v>
      </c>
      <c r="J294" s="39">
        <v>4701</v>
      </c>
      <c r="K294" s="39">
        <v>4701</v>
      </c>
      <c r="L294" s="50"/>
      <c r="M294" s="50"/>
      <c r="N294" s="1">
        <f>Tabla5[[#This Row],[TRIMESTRE  I]]+Tabla5[[#This Row],[TRIMESTRE II]]+Tabla5[[#This Row],[TRIMESTRE III]]+Tabla5[[#This Row],[TRIMESTRE IV]]</f>
        <v>9402</v>
      </c>
      <c r="O294" s="39"/>
      <c r="P294" s="39"/>
      <c r="Q294" s="59"/>
    </row>
    <row r="295" spans="2:17" ht="27" x14ac:dyDescent="0.2">
      <c r="B295" s="46">
        <v>502046</v>
      </c>
      <c r="C295" s="47" t="s">
        <v>523</v>
      </c>
      <c r="D295" s="48">
        <v>530</v>
      </c>
      <c r="E295" s="43" t="str">
        <f>IF(D295&lt;=0,"",VLOOKUP(D295,[1]FF!A:D,2,0))</f>
        <v>PARTICIPACIONES Ramo 28</v>
      </c>
      <c r="F295" s="37" t="s">
        <v>527</v>
      </c>
      <c r="G295" s="37" t="s">
        <v>461</v>
      </c>
      <c r="H295" s="49">
        <v>214001</v>
      </c>
      <c r="I295" s="44" t="str">
        <f>IF(H295&lt;=0,"",VLOOKUP(H295,[4]COG!A:H,2,0))</f>
        <v>Materiales, útiles y equipos menores de tecnologías de la información y comunicaciones</v>
      </c>
      <c r="J295" s="39">
        <v>156208.76</v>
      </c>
      <c r="K295" s="39">
        <v>180213</v>
      </c>
      <c r="L295" s="50"/>
      <c r="M295" s="50"/>
      <c r="N295" s="1">
        <f>Tabla5[[#This Row],[TRIMESTRE  I]]+Tabla5[[#This Row],[TRIMESTRE II]]+Tabla5[[#This Row],[TRIMESTRE III]]+Tabla5[[#This Row],[TRIMESTRE IV]]</f>
        <v>336421.76</v>
      </c>
      <c r="O295" s="39"/>
      <c r="P295" s="39"/>
      <c r="Q295" s="59"/>
    </row>
    <row r="296" spans="2:17" ht="22.5" x14ac:dyDescent="0.2">
      <c r="B296" s="46">
        <v>502046</v>
      </c>
      <c r="C296" s="47" t="s">
        <v>523</v>
      </c>
      <c r="D296" s="48">
        <v>530</v>
      </c>
      <c r="E296" s="43" t="str">
        <f>IF(D296&lt;=0,"",VLOOKUP(D296,[1]FF!A:D,2,0))</f>
        <v>PARTICIPACIONES Ramo 28</v>
      </c>
      <c r="F296" s="37" t="s">
        <v>527</v>
      </c>
      <c r="G296" s="37" t="s">
        <v>461</v>
      </c>
      <c r="H296" s="49">
        <v>215001</v>
      </c>
      <c r="I296" s="44" t="str">
        <f>IF(H296&lt;=0,"",VLOOKUP(H296,[4]COG!A:H,2,0))</f>
        <v>Material didáctico</v>
      </c>
      <c r="J296" s="39">
        <v>0</v>
      </c>
      <c r="K296" s="39">
        <v>0</v>
      </c>
      <c r="L296" s="50"/>
      <c r="M296" s="50"/>
      <c r="N296" s="1">
        <f>Tabla5[[#This Row],[TRIMESTRE  I]]+Tabla5[[#This Row],[TRIMESTRE II]]+Tabla5[[#This Row],[TRIMESTRE III]]+Tabla5[[#This Row],[TRIMESTRE IV]]</f>
        <v>0</v>
      </c>
      <c r="O296" s="39"/>
      <c r="P296" s="39"/>
      <c r="Q296" s="59"/>
    </row>
    <row r="297" spans="2:17" ht="22.5" x14ac:dyDescent="0.2">
      <c r="B297" s="46">
        <v>502046</v>
      </c>
      <c r="C297" s="47" t="s">
        <v>523</v>
      </c>
      <c r="D297" s="48">
        <v>530</v>
      </c>
      <c r="E297" s="43" t="str">
        <f>IF(D297&lt;=0,"",VLOOKUP(D297,[1]FF!A:D,2,0))</f>
        <v>PARTICIPACIONES Ramo 28</v>
      </c>
      <c r="F297" s="37" t="s">
        <v>527</v>
      </c>
      <c r="G297" s="37" t="s">
        <v>461</v>
      </c>
      <c r="H297" s="49">
        <v>216001</v>
      </c>
      <c r="I297" s="44" t="str">
        <f>IF(H297&lt;=0,"",VLOOKUP(H297,[4]COG!A:H,2,0))</f>
        <v>Material de limpieza</v>
      </c>
      <c r="J297" s="39">
        <v>3942</v>
      </c>
      <c r="K297" s="39">
        <v>3942</v>
      </c>
      <c r="L297" s="50"/>
      <c r="M297" s="50"/>
      <c r="N297" s="1">
        <f>Tabla5[[#This Row],[TRIMESTRE  I]]+Tabla5[[#This Row],[TRIMESTRE II]]+Tabla5[[#This Row],[TRIMESTRE III]]+Tabla5[[#This Row],[TRIMESTRE IV]]</f>
        <v>7884</v>
      </c>
      <c r="O297" s="39"/>
      <c r="P297" s="39"/>
      <c r="Q297" s="59"/>
    </row>
    <row r="298" spans="2:17" ht="22.5" x14ac:dyDescent="0.2">
      <c r="B298" s="46">
        <v>502046</v>
      </c>
      <c r="C298" s="47" t="s">
        <v>523</v>
      </c>
      <c r="D298" s="48">
        <v>530</v>
      </c>
      <c r="E298" s="43" t="str">
        <f>IF(D298&lt;=0,"",VLOOKUP(D298,[1]FF!A:D,2,0))</f>
        <v>PARTICIPACIONES Ramo 28</v>
      </c>
      <c r="F298" s="37" t="s">
        <v>527</v>
      </c>
      <c r="G298" s="37" t="s">
        <v>461</v>
      </c>
      <c r="H298" s="49">
        <v>221001</v>
      </c>
      <c r="I298" s="44" t="str">
        <f>IF(H298&lt;=0,"",VLOOKUP(H298,[4]COG!A:H,2,0))</f>
        <v>Alimentación de personas</v>
      </c>
      <c r="J298" s="39">
        <v>0</v>
      </c>
      <c r="K298" s="39">
        <v>0</v>
      </c>
      <c r="L298" s="50"/>
      <c r="M298" s="50"/>
      <c r="N298" s="1">
        <f>Tabla5[[#This Row],[TRIMESTRE  I]]+Tabla5[[#This Row],[TRIMESTRE II]]+Tabla5[[#This Row],[TRIMESTRE III]]+Tabla5[[#This Row],[TRIMESTRE IV]]</f>
        <v>0</v>
      </c>
      <c r="O298" s="39"/>
      <c r="P298" s="39"/>
      <c r="Q298" s="59"/>
    </row>
    <row r="299" spans="2:17" ht="22.5" x14ac:dyDescent="0.2">
      <c r="B299" s="46">
        <v>502046</v>
      </c>
      <c r="C299" s="47" t="s">
        <v>523</v>
      </c>
      <c r="D299" s="48">
        <v>530</v>
      </c>
      <c r="E299" s="43" t="str">
        <f>IF(D299&lt;=0,"",VLOOKUP(D299,[1]FF!A:D,2,0))</f>
        <v>PARTICIPACIONES Ramo 28</v>
      </c>
      <c r="F299" s="37" t="s">
        <v>527</v>
      </c>
      <c r="G299" s="37" t="s">
        <v>461</v>
      </c>
      <c r="H299" s="49">
        <v>246001</v>
      </c>
      <c r="I299" s="44" t="str">
        <f>IF(H299&lt;=0,"",VLOOKUP(H299,[4]COG!A:H,2,0))</f>
        <v>Material eléctrico</v>
      </c>
      <c r="J299" s="39">
        <v>73617</v>
      </c>
      <c r="K299" s="39">
        <v>73617</v>
      </c>
      <c r="L299" s="50"/>
      <c r="M299" s="50"/>
      <c r="N299" s="1">
        <f>Tabla5[[#This Row],[TRIMESTRE  I]]+Tabla5[[#This Row],[TRIMESTRE II]]+Tabla5[[#This Row],[TRIMESTRE III]]+Tabla5[[#This Row],[TRIMESTRE IV]]</f>
        <v>147234</v>
      </c>
      <c r="O299" s="39"/>
      <c r="P299" s="39"/>
      <c r="Q299" s="59"/>
    </row>
    <row r="300" spans="2:17" ht="22.5" x14ac:dyDescent="0.2">
      <c r="B300" s="46">
        <v>502046</v>
      </c>
      <c r="C300" s="47" t="s">
        <v>523</v>
      </c>
      <c r="D300" s="48">
        <v>530</v>
      </c>
      <c r="E300" s="43" t="str">
        <f>IF(D300&lt;=0,"",VLOOKUP(D300,[1]FF!A:D,2,0))</f>
        <v>PARTICIPACIONES Ramo 28</v>
      </c>
      <c r="F300" s="37" t="s">
        <v>527</v>
      </c>
      <c r="G300" s="37" t="s">
        <v>461</v>
      </c>
      <c r="H300" s="49">
        <v>249001</v>
      </c>
      <c r="I300" s="44" t="str">
        <f>IF(H300&lt;=0,"",VLOOKUP(H300,[4]COG!A:H,2,0))</f>
        <v>Materiales de construcción y complementarios</v>
      </c>
      <c r="J300" s="39">
        <v>13014</v>
      </c>
      <c r="K300" s="39">
        <v>13014</v>
      </c>
      <c r="L300" s="50"/>
      <c r="M300" s="50"/>
      <c r="N300" s="1">
        <f>Tabla5[[#This Row],[TRIMESTRE  I]]+Tabla5[[#This Row],[TRIMESTRE II]]+Tabla5[[#This Row],[TRIMESTRE III]]+Tabla5[[#This Row],[TRIMESTRE IV]]</f>
        <v>26028</v>
      </c>
      <c r="O300" s="39"/>
      <c r="P300" s="39"/>
      <c r="Q300" s="59"/>
    </row>
    <row r="301" spans="2:17" ht="22.5" x14ac:dyDescent="0.2">
      <c r="B301" s="46">
        <v>502046</v>
      </c>
      <c r="C301" s="47" t="s">
        <v>523</v>
      </c>
      <c r="D301" s="48">
        <v>530</v>
      </c>
      <c r="E301" s="43" t="str">
        <f>IF(D301&lt;=0,"",VLOOKUP(D301,[1]FF!A:D,2,0))</f>
        <v>PARTICIPACIONES Ramo 28</v>
      </c>
      <c r="F301" s="37" t="s">
        <v>527</v>
      </c>
      <c r="G301" s="37" t="s">
        <v>461</v>
      </c>
      <c r="H301" s="49">
        <v>253001</v>
      </c>
      <c r="I301" s="44" t="str">
        <f>IF(H301&lt;=0,"",VLOOKUP(H301,[4]COG!A:H,2,0))</f>
        <v>Material y productos químicos, farmacéuticos</v>
      </c>
      <c r="J301" s="39">
        <v>1959</v>
      </c>
      <c r="K301" s="39">
        <v>1959</v>
      </c>
      <c r="L301" s="50"/>
      <c r="M301" s="50"/>
      <c r="N301" s="1">
        <f>Tabla5[[#This Row],[TRIMESTRE  I]]+Tabla5[[#This Row],[TRIMESTRE II]]+Tabla5[[#This Row],[TRIMESTRE III]]+Tabla5[[#This Row],[TRIMESTRE IV]]</f>
        <v>3918</v>
      </c>
      <c r="O301" s="39"/>
      <c r="P301" s="39"/>
      <c r="Q301" s="59"/>
    </row>
    <row r="302" spans="2:17" ht="22.5" x14ac:dyDescent="0.2">
      <c r="B302" s="46">
        <v>502046</v>
      </c>
      <c r="C302" s="47" t="s">
        <v>523</v>
      </c>
      <c r="D302" s="48">
        <v>530</v>
      </c>
      <c r="E302" s="43" t="str">
        <f>IF(D302&lt;=0,"",VLOOKUP(D302,[1]FF!A:D,2,0))</f>
        <v>PARTICIPACIONES Ramo 28</v>
      </c>
      <c r="F302" s="37" t="s">
        <v>527</v>
      </c>
      <c r="G302" s="37" t="s">
        <v>461</v>
      </c>
      <c r="H302" s="49">
        <v>261001</v>
      </c>
      <c r="I302" s="44" t="str">
        <f>IF(H302&lt;=0,"",VLOOKUP(H302,[4]COG!A:H,2,0))</f>
        <v>Combustibles</v>
      </c>
      <c r="J302" s="39">
        <v>54054</v>
      </c>
      <c r="K302" s="39">
        <v>54054</v>
      </c>
      <c r="L302" s="50"/>
      <c r="M302" s="50"/>
      <c r="N302" s="1">
        <f>Tabla5[[#This Row],[TRIMESTRE  I]]+Tabla5[[#This Row],[TRIMESTRE II]]+Tabla5[[#This Row],[TRIMESTRE III]]+Tabla5[[#This Row],[TRIMESTRE IV]]</f>
        <v>108108</v>
      </c>
      <c r="O302" s="39"/>
      <c r="P302" s="39"/>
      <c r="Q302" s="59"/>
    </row>
    <row r="303" spans="2:17" ht="22.5" x14ac:dyDescent="0.2">
      <c r="B303" s="46">
        <v>502046</v>
      </c>
      <c r="C303" s="47" t="s">
        <v>523</v>
      </c>
      <c r="D303" s="48">
        <v>530</v>
      </c>
      <c r="E303" s="43" t="str">
        <f>IF(D303&lt;=0,"",VLOOKUP(D303,[1]FF!A:D,2,0))</f>
        <v>PARTICIPACIONES Ramo 28</v>
      </c>
      <c r="F303" s="37" t="s">
        <v>527</v>
      </c>
      <c r="G303" s="37" t="s">
        <v>461</v>
      </c>
      <c r="H303" s="49">
        <v>271001</v>
      </c>
      <c r="I303" s="44" t="str">
        <f>IF(H303&lt;=0,"",VLOOKUP(H303,[4]COG!A:H,2,0))</f>
        <v>Ropa, vestuario y equipo</v>
      </c>
      <c r="J303" s="39">
        <v>77913</v>
      </c>
      <c r="K303" s="39">
        <v>77913</v>
      </c>
      <c r="L303" s="50"/>
      <c r="M303" s="50"/>
      <c r="N303" s="1">
        <f>Tabla5[[#This Row],[TRIMESTRE  I]]+Tabla5[[#This Row],[TRIMESTRE II]]+Tabla5[[#This Row],[TRIMESTRE III]]+Tabla5[[#This Row],[TRIMESTRE IV]]</f>
        <v>155826</v>
      </c>
      <c r="O303" s="39"/>
      <c r="P303" s="39"/>
      <c r="Q303" s="59"/>
    </row>
    <row r="304" spans="2:17" ht="22.5" x14ac:dyDescent="0.2">
      <c r="B304" s="46">
        <v>502046</v>
      </c>
      <c r="C304" s="47" t="s">
        <v>523</v>
      </c>
      <c r="D304" s="48">
        <v>530</v>
      </c>
      <c r="E304" s="43" t="str">
        <f>IF(D304&lt;=0,"",VLOOKUP(D304,[1]FF!A:D,2,0))</f>
        <v>PARTICIPACIONES Ramo 28</v>
      </c>
      <c r="F304" s="37" t="s">
        <v>527</v>
      </c>
      <c r="G304" s="37" t="s">
        <v>461</v>
      </c>
      <c r="H304" s="49">
        <v>272001</v>
      </c>
      <c r="I304" s="44" t="str">
        <f>IF(H304&lt;=0,"",VLOOKUP(H304,[4]COG!A:H,2,0))</f>
        <v>Materiales explosivos y de seguridad pública</v>
      </c>
      <c r="J304" s="39">
        <v>3228</v>
      </c>
      <c r="K304" s="39">
        <v>3228</v>
      </c>
      <c r="L304" s="50"/>
      <c r="M304" s="50"/>
      <c r="N304" s="1">
        <f>Tabla5[[#This Row],[TRIMESTRE  I]]+Tabla5[[#This Row],[TRIMESTRE II]]+Tabla5[[#This Row],[TRIMESTRE III]]+Tabla5[[#This Row],[TRIMESTRE IV]]</f>
        <v>6456</v>
      </c>
      <c r="O304" s="39"/>
      <c r="P304" s="39"/>
      <c r="Q304" s="59"/>
    </row>
    <row r="305" spans="2:17" ht="22.5" x14ac:dyDescent="0.2">
      <c r="B305" s="46">
        <v>502046</v>
      </c>
      <c r="C305" s="47" t="s">
        <v>523</v>
      </c>
      <c r="D305" s="48">
        <v>530</v>
      </c>
      <c r="E305" s="43" t="str">
        <f>IF(D305&lt;=0,"",VLOOKUP(D305,[1]FF!A:D,2,0))</f>
        <v>PARTICIPACIONES Ramo 28</v>
      </c>
      <c r="F305" s="37" t="s">
        <v>527</v>
      </c>
      <c r="G305" s="37" t="s">
        <v>461</v>
      </c>
      <c r="H305" s="49">
        <v>294001</v>
      </c>
      <c r="I305" s="44" t="str">
        <f>IF(H305&lt;=0,"",VLOOKUP(H305,[4]COG!A:H,2,0))</f>
        <v>Dispositivos Internos y Externos de Equipo de Computo</v>
      </c>
      <c r="J305" s="39">
        <v>31875</v>
      </c>
      <c r="K305" s="39">
        <v>31875</v>
      </c>
      <c r="L305" s="50"/>
      <c r="M305" s="50"/>
      <c r="N305" s="1">
        <f>Tabla5[[#This Row],[TRIMESTRE  I]]+Tabla5[[#This Row],[TRIMESTRE II]]+Tabla5[[#This Row],[TRIMESTRE III]]+Tabla5[[#This Row],[TRIMESTRE IV]]</f>
        <v>63750</v>
      </c>
      <c r="O305" s="39"/>
      <c r="P305" s="39"/>
      <c r="Q305" s="59"/>
    </row>
    <row r="306" spans="2:17" ht="22.5" x14ac:dyDescent="0.2">
      <c r="B306" s="46">
        <v>502046</v>
      </c>
      <c r="C306" s="47" t="s">
        <v>523</v>
      </c>
      <c r="D306" s="48">
        <v>530</v>
      </c>
      <c r="E306" s="43" t="str">
        <f>IF(D306&lt;=0,"",VLOOKUP(D306,[1]FF!A:D,2,0))</f>
        <v>PARTICIPACIONES Ramo 28</v>
      </c>
      <c r="F306" s="37" t="s">
        <v>527</v>
      </c>
      <c r="G306" s="37" t="s">
        <v>461</v>
      </c>
      <c r="H306" s="49">
        <v>296001</v>
      </c>
      <c r="I306" s="44" t="str">
        <f>IF(H306&lt;=0,"",VLOOKUP(H306,[4]COG!A:H,2,0))</f>
        <v>Herramientas, refacciones y accesorios</v>
      </c>
      <c r="J306" s="39">
        <v>2157</v>
      </c>
      <c r="K306" s="39">
        <v>2157</v>
      </c>
      <c r="L306" s="50"/>
      <c r="M306" s="50"/>
      <c r="N306" s="1">
        <f>Tabla5[[#This Row],[TRIMESTRE  I]]+Tabla5[[#This Row],[TRIMESTRE II]]+Tabla5[[#This Row],[TRIMESTRE III]]+Tabla5[[#This Row],[TRIMESTRE IV]]</f>
        <v>4314</v>
      </c>
      <c r="O306" s="39"/>
      <c r="P306" s="39"/>
      <c r="Q306" s="59"/>
    </row>
    <row r="307" spans="2:17" ht="22.5" x14ac:dyDescent="0.2">
      <c r="B307" s="46">
        <v>502047</v>
      </c>
      <c r="C307" s="47" t="s">
        <v>523</v>
      </c>
      <c r="D307" s="48">
        <v>530</v>
      </c>
      <c r="E307" s="43" t="str">
        <f>IF(D307&lt;=0,"",VLOOKUP(D307,[1]FF!A:D,2,0))</f>
        <v>PARTICIPACIONES Ramo 28</v>
      </c>
      <c r="F307" s="37" t="s">
        <v>528</v>
      </c>
      <c r="G307" s="37" t="s">
        <v>461</v>
      </c>
      <c r="H307" s="49">
        <v>211001</v>
      </c>
      <c r="I307" s="44" t="str">
        <f>IF(H307&lt;=0,"",VLOOKUP(H307,[4]COG!A:H,2,0))</f>
        <v>Material de oficina</v>
      </c>
      <c r="J307" s="39">
        <v>3104</v>
      </c>
      <c r="K307" s="39">
        <v>3008</v>
      </c>
      <c r="L307" s="50"/>
      <c r="M307" s="50"/>
      <c r="N307" s="1">
        <f>Tabla5[[#This Row],[TRIMESTRE  I]]+Tabla5[[#This Row],[TRIMESTRE II]]+Tabla5[[#This Row],[TRIMESTRE III]]+Tabla5[[#This Row],[TRIMESTRE IV]]</f>
        <v>6112</v>
      </c>
      <c r="O307" s="39"/>
      <c r="P307" s="39"/>
      <c r="Q307" s="59"/>
    </row>
    <row r="308" spans="2:17" ht="22.5" x14ac:dyDescent="0.2">
      <c r="B308" s="46">
        <v>502047</v>
      </c>
      <c r="C308" s="47" t="s">
        <v>523</v>
      </c>
      <c r="D308" s="48">
        <v>530</v>
      </c>
      <c r="E308" s="43" t="str">
        <f>IF(D308&lt;=0,"",VLOOKUP(D308,[1]FF!A:D,2,0))</f>
        <v>PARTICIPACIONES Ramo 28</v>
      </c>
      <c r="F308" s="37" t="s">
        <v>528</v>
      </c>
      <c r="G308" s="37" t="s">
        <v>461</v>
      </c>
      <c r="H308" s="49">
        <v>212001</v>
      </c>
      <c r="I308" s="44" t="str">
        <f>IF(H308&lt;=0,"",VLOOKUP(H308,[4]COG!A:H,2,0))</f>
        <v>Material y útiles de impresión</v>
      </c>
      <c r="J308" s="39">
        <v>23049</v>
      </c>
      <c r="K308" s="39">
        <v>23049</v>
      </c>
      <c r="L308" s="50"/>
      <c r="M308" s="50"/>
      <c r="N308" s="1">
        <f>Tabla5[[#This Row],[TRIMESTRE  I]]+Tabla5[[#This Row],[TRIMESTRE II]]+Tabla5[[#This Row],[TRIMESTRE III]]+Tabla5[[#This Row],[TRIMESTRE IV]]</f>
        <v>46098</v>
      </c>
      <c r="O308" s="39"/>
      <c r="P308" s="39"/>
      <c r="Q308" s="59"/>
    </row>
    <row r="309" spans="2:17" ht="27" x14ac:dyDescent="0.2">
      <c r="B309" s="46">
        <v>502047</v>
      </c>
      <c r="C309" s="47" t="s">
        <v>523</v>
      </c>
      <c r="D309" s="48">
        <v>530</v>
      </c>
      <c r="E309" s="43" t="str">
        <f>IF(D309&lt;=0,"",VLOOKUP(D309,[1]FF!A:D,2,0))</f>
        <v>PARTICIPACIONES Ramo 28</v>
      </c>
      <c r="F309" s="37" t="s">
        <v>528</v>
      </c>
      <c r="G309" s="37" t="s">
        <v>461</v>
      </c>
      <c r="H309" s="49">
        <v>214001</v>
      </c>
      <c r="I309" s="44" t="str">
        <f>IF(H309&lt;=0,"",VLOOKUP(H309,[4]COG!A:H,2,0))</f>
        <v>Materiales, útiles y equipos menores de tecnologías de la información y comunicaciones</v>
      </c>
      <c r="J309" s="39">
        <v>0</v>
      </c>
      <c r="K309" s="39">
        <v>0</v>
      </c>
      <c r="L309" s="50"/>
      <c r="M309" s="50"/>
      <c r="N309" s="1">
        <f>Tabla5[[#This Row],[TRIMESTRE  I]]+Tabla5[[#This Row],[TRIMESTRE II]]+Tabla5[[#This Row],[TRIMESTRE III]]+Tabla5[[#This Row],[TRIMESTRE IV]]</f>
        <v>0</v>
      </c>
      <c r="O309" s="39"/>
      <c r="P309" s="39"/>
      <c r="Q309" s="59"/>
    </row>
    <row r="310" spans="2:17" ht="22.5" x14ac:dyDescent="0.2">
      <c r="B310" s="46">
        <v>502047</v>
      </c>
      <c r="C310" s="47" t="s">
        <v>523</v>
      </c>
      <c r="D310" s="48">
        <v>530</v>
      </c>
      <c r="E310" s="43" t="str">
        <f>IF(D310&lt;=0,"",VLOOKUP(D310,[1]FF!A:D,2,0))</f>
        <v>PARTICIPACIONES Ramo 28</v>
      </c>
      <c r="F310" s="37" t="s">
        <v>528</v>
      </c>
      <c r="G310" s="37" t="s">
        <v>461</v>
      </c>
      <c r="H310" s="49">
        <v>215001</v>
      </c>
      <c r="I310" s="44" t="str">
        <f>IF(H310&lt;=0,"",VLOOKUP(H310,[4]COG!A:H,2,0))</f>
        <v>Material didáctico</v>
      </c>
      <c r="J310" s="39">
        <v>2547</v>
      </c>
      <c r="K310" s="39">
        <v>2547</v>
      </c>
      <c r="L310" s="50"/>
      <c r="M310" s="50"/>
      <c r="N310" s="1">
        <f>Tabla5[[#This Row],[TRIMESTRE  I]]+Tabla5[[#This Row],[TRIMESTRE II]]+Tabla5[[#This Row],[TRIMESTRE III]]+Tabla5[[#This Row],[TRIMESTRE IV]]</f>
        <v>5094</v>
      </c>
      <c r="O310" s="39"/>
      <c r="P310" s="39"/>
      <c r="Q310" s="59"/>
    </row>
    <row r="311" spans="2:17" ht="22.5" x14ac:dyDescent="0.2">
      <c r="B311" s="46">
        <v>502047</v>
      </c>
      <c r="C311" s="47" t="s">
        <v>523</v>
      </c>
      <c r="D311" s="48">
        <v>530</v>
      </c>
      <c r="E311" s="43" t="str">
        <f>IF(D311&lt;=0,"",VLOOKUP(D311,[1]FF!A:D,2,0))</f>
        <v>PARTICIPACIONES Ramo 28</v>
      </c>
      <c r="F311" s="37" t="s">
        <v>528</v>
      </c>
      <c r="G311" s="37" t="s">
        <v>461</v>
      </c>
      <c r="H311" s="49">
        <v>216001</v>
      </c>
      <c r="I311" s="44" t="str">
        <f>IF(H311&lt;=0,"",VLOOKUP(H311,[4]COG!A:H,2,0))</f>
        <v>Material de limpieza</v>
      </c>
      <c r="J311" s="39">
        <v>0</v>
      </c>
      <c r="K311" s="39">
        <v>0</v>
      </c>
      <c r="L311" s="50"/>
      <c r="M311" s="50"/>
      <c r="N311" s="1">
        <f>Tabla5[[#This Row],[TRIMESTRE  I]]+Tabla5[[#This Row],[TRIMESTRE II]]+Tabla5[[#This Row],[TRIMESTRE III]]+Tabla5[[#This Row],[TRIMESTRE IV]]</f>
        <v>0</v>
      </c>
      <c r="O311" s="39"/>
      <c r="P311" s="39"/>
      <c r="Q311" s="59"/>
    </row>
    <row r="312" spans="2:17" ht="22.5" x14ac:dyDescent="0.2">
      <c r="B312" s="46">
        <v>502047</v>
      </c>
      <c r="C312" s="47" t="s">
        <v>523</v>
      </c>
      <c r="D312" s="48">
        <v>530</v>
      </c>
      <c r="E312" s="43" t="str">
        <f>IF(D312&lt;=0,"",VLOOKUP(D312,[1]FF!A:D,2,0))</f>
        <v>PARTICIPACIONES Ramo 28</v>
      </c>
      <c r="F312" s="37" t="s">
        <v>528</v>
      </c>
      <c r="G312" s="37" t="s">
        <v>461</v>
      </c>
      <c r="H312" s="49">
        <v>217001</v>
      </c>
      <c r="I312" s="44" t="str">
        <f>IF(H312&lt;=0,"",VLOOKUP(H312,[4]COG!A:H,2,0))</f>
        <v>Materiales y útiles de enseñanza</v>
      </c>
      <c r="J312" s="39">
        <v>0</v>
      </c>
      <c r="K312" s="39">
        <v>0</v>
      </c>
      <c r="L312" s="50"/>
      <c r="M312" s="50"/>
      <c r="N312" s="1">
        <f>Tabla5[[#This Row],[TRIMESTRE  I]]+Tabla5[[#This Row],[TRIMESTRE II]]+Tabla5[[#This Row],[TRIMESTRE III]]+Tabla5[[#This Row],[TRIMESTRE IV]]</f>
        <v>0</v>
      </c>
      <c r="O312" s="39"/>
      <c r="P312" s="39"/>
      <c r="Q312" s="59"/>
    </row>
    <row r="313" spans="2:17" ht="22.5" x14ac:dyDescent="0.2">
      <c r="B313" s="46">
        <v>502047</v>
      </c>
      <c r="C313" s="47" t="s">
        <v>523</v>
      </c>
      <c r="D313" s="48">
        <v>530</v>
      </c>
      <c r="E313" s="43" t="str">
        <f>IF(D313&lt;=0,"",VLOOKUP(D313,[1]FF!A:D,2,0))</f>
        <v>PARTICIPACIONES Ramo 28</v>
      </c>
      <c r="F313" s="37" t="s">
        <v>528</v>
      </c>
      <c r="G313" s="37" t="s">
        <v>461</v>
      </c>
      <c r="H313" s="49">
        <v>221001</v>
      </c>
      <c r="I313" s="44" t="str">
        <f>IF(H313&lt;=0,"",VLOOKUP(H313,[4]COG!A:H,2,0))</f>
        <v>Alimentación de personas</v>
      </c>
      <c r="J313" s="39">
        <v>0</v>
      </c>
      <c r="K313" s="39">
        <v>0</v>
      </c>
      <c r="L313" s="50"/>
      <c r="M313" s="50"/>
      <c r="N313" s="1">
        <f>Tabla5[[#This Row],[TRIMESTRE  I]]+Tabla5[[#This Row],[TRIMESTRE II]]+Tabla5[[#This Row],[TRIMESTRE III]]+Tabla5[[#This Row],[TRIMESTRE IV]]</f>
        <v>0</v>
      </c>
      <c r="O313" s="39"/>
      <c r="P313" s="39"/>
      <c r="Q313" s="59"/>
    </row>
    <row r="314" spans="2:17" ht="22.5" x14ac:dyDescent="0.2">
      <c r="B314" s="46">
        <v>502047</v>
      </c>
      <c r="C314" s="47" t="s">
        <v>523</v>
      </c>
      <c r="D314" s="48">
        <v>530</v>
      </c>
      <c r="E314" s="43" t="str">
        <f>IF(D314&lt;=0,"",VLOOKUP(D314,[1]FF!A:D,2,0))</f>
        <v>PARTICIPACIONES Ramo 28</v>
      </c>
      <c r="F314" s="37" t="s">
        <v>528</v>
      </c>
      <c r="G314" s="37" t="s">
        <v>461</v>
      </c>
      <c r="H314" s="49">
        <v>223001</v>
      </c>
      <c r="I314" s="44" t="str">
        <f>IF(H314&lt;=0,"",VLOOKUP(H314,[4]COG!A:H,2,0))</f>
        <v>Utensilios para el servicio de alimentación</v>
      </c>
      <c r="J314" s="39">
        <v>0</v>
      </c>
      <c r="K314" s="39">
        <v>0</v>
      </c>
      <c r="L314" s="50"/>
      <c r="M314" s="50"/>
      <c r="N314" s="1">
        <f>Tabla5[[#This Row],[TRIMESTRE  I]]+Tabla5[[#This Row],[TRIMESTRE II]]+Tabla5[[#This Row],[TRIMESTRE III]]+Tabla5[[#This Row],[TRIMESTRE IV]]</f>
        <v>0</v>
      </c>
      <c r="O314" s="39"/>
      <c r="P314" s="39"/>
      <c r="Q314" s="59"/>
    </row>
    <row r="315" spans="2:17" ht="22.5" x14ac:dyDescent="0.2">
      <c r="B315" s="46">
        <v>502047</v>
      </c>
      <c r="C315" s="47" t="s">
        <v>523</v>
      </c>
      <c r="D315" s="48">
        <v>530</v>
      </c>
      <c r="E315" s="43" t="str">
        <f>IF(D315&lt;=0,"",VLOOKUP(D315,[1]FF!A:D,2,0))</f>
        <v>PARTICIPACIONES Ramo 28</v>
      </c>
      <c r="F315" s="37" t="s">
        <v>528</v>
      </c>
      <c r="G315" s="37" t="s">
        <v>461</v>
      </c>
      <c r="H315" s="49">
        <v>261001</v>
      </c>
      <c r="I315" s="44" t="str">
        <f>IF(H315&lt;=0,"",VLOOKUP(H315,[4]COG!A:H,2,0))</f>
        <v>Combustibles</v>
      </c>
      <c r="J315" s="39">
        <v>37857</v>
      </c>
      <c r="K315" s="39">
        <v>37860</v>
      </c>
      <c r="L315" s="50"/>
      <c r="M315" s="50"/>
      <c r="N315" s="1">
        <f>Tabla5[[#This Row],[TRIMESTRE  I]]+Tabla5[[#This Row],[TRIMESTRE II]]+Tabla5[[#This Row],[TRIMESTRE III]]+Tabla5[[#This Row],[TRIMESTRE IV]]</f>
        <v>75717</v>
      </c>
      <c r="O315" s="39"/>
      <c r="P315" s="39"/>
      <c r="Q315" s="59"/>
    </row>
    <row r="316" spans="2:17" ht="22.5" x14ac:dyDescent="0.2">
      <c r="B316" s="46">
        <v>502047</v>
      </c>
      <c r="C316" s="47" t="s">
        <v>523</v>
      </c>
      <c r="D316" s="48">
        <v>530</v>
      </c>
      <c r="E316" s="43" t="str">
        <f>IF(D316&lt;=0,"",VLOOKUP(D316,[1]FF!A:D,2,0))</f>
        <v>PARTICIPACIONES Ramo 28</v>
      </c>
      <c r="F316" s="37" t="s">
        <v>528</v>
      </c>
      <c r="G316" s="37" t="s">
        <v>461</v>
      </c>
      <c r="H316" s="49">
        <v>271001</v>
      </c>
      <c r="I316" s="44" t="str">
        <f>IF(H316&lt;=0,"",VLOOKUP(H316,[4]COG!A:H,2,0))</f>
        <v>Ropa, vestuario y equipo</v>
      </c>
      <c r="J316" s="39">
        <v>1020</v>
      </c>
      <c r="K316" s="39">
        <v>1020</v>
      </c>
      <c r="L316" s="50"/>
      <c r="M316" s="50"/>
      <c r="N316" s="1">
        <f>Tabla5[[#This Row],[TRIMESTRE  I]]+Tabla5[[#This Row],[TRIMESTRE II]]+Tabla5[[#This Row],[TRIMESTRE III]]+Tabla5[[#This Row],[TRIMESTRE IV]]</f>
        <v>2040</v>
      </c>
      <c r="O316" s="39"/>
      <c r="P316" s="39"/>
      <c r="Q316" s="59"/>
    </row>
    <row r="317" spans="2:17" ht="22.5" x14ac:dyDescent="0.2">
      <c r="B317" s="46">
        <v>502047</v>
      </c>
      <c r="C317" s="47" t="s">
        <v>523</v>
      </c>
      <c r="D317" s="48">
        <v>530</v>
      </c>
      <c r="E317" s="43" t="str">
        <f>IF(D317&lt;=0,"",VLOOKUP(D317,[1]FF!A:D,2,0))</f>
        <v>PARTICIPACIONES Ramo 28</v>
      </c>
      <c r="F317" s="37" t="s">
        <v>528</v>
      </c>
      <c r="G317" s="37" t="s">
        <v>461</v>
      </c>
      <c r="H317" s="49">
        <v>294001</v>
      </c>
      <c r="I317" s="44" t="str">
        <f>IF(H317&lt;=0,"",VLOOKUP(H317,[4]COG!A:H,2,0))</f>
        <v>Dispositivos Internos y Externos de Equipo de Computo</v>
      </c>
      <c r="J317" s="39">
        <v>0</v>
      </c>
      <c r="K317" s="39">
        <v>0</v>
      </c>
      <c r="L317" s="50"/>
      <c r="M317" s="50"/>
      <c r="N317" s="1">
        <f>Tabla5[[#This Row],[TRIMESTRE  I]]+Tabla5[[#This Row],[TRIMESTRE II]]+Tabla5[[#This Row],[TRIMESTRE III]]+Tabla5[[#This Row],[TRIMESTRE IV]]</f>
        <v>0</v>
      </c>
      <c r="O317" s="39"/>
      <c r="P317" s="39"/>
      <c r="Q317" s="59"/>
    </row>
    <row r="318" spans="2:17" ht="22.5" x14ac:dyDescent="0.2">
      <c r="B318" s="46">
        <v>502047</v>
      </c>
      <c r="C318" s="47" t="s">
        <v>523</v>
      </c>
      <c r="D318" s="48">
        <v>530</v>
      </c>
      <c r="E318" s="43" t="str">
        <f>IF(D318&lt;=0,"",VLOOKUP(D318,[1]FF!A:D,2,0))</f>
        <v>PARTICIPACIONES Ramo 28</v>
      </c>
      <c r="F318" s="37" t="s">
        <v>528</v>
      </c>
      <c r="G318" s="37" t="s">
        <v>461</v>
      </c>
      <c r="H318" s="49">
        <v>296001</v>
      </c>
      <c r="I318" s="44" t="str">
        <f>IF(H318&lt;=0,"",VLOOKUP(H318,[4]COG!A:H,2,0))</f>
        <v>Herramientas, refacciones y accesorios</v>
      </c>
      <c r="J318" s="39">
        <v>498</v>
      </c>
      <c r="K318" s="39">
        <v>498</v>
      </c>
      <c r="L318" s="50"/>
      <c r="M318" s="50"/>
      <c r="N318" s="1">
        <f>Tabla5[[#This Row],[TRIMESTRE  I]]+Tabla5[[#This Row],[TRIMESTRE II]]+Tabla5[[#This Row],[TRIMESTRE III]]+Tabla5[[#This Row],[TRIMESTRE IV]]</f>
        <v>996</v>
      </c>
      <c r="O318" s="39"/>
      <c r="P318" s="39"/>
      <c r="Q318" s="59"/>
    </row>
    <row r="319" spans="2:17" ht="33.75" x14ac:dyDescent="0.2">
      <c r="B319" s="46">
        <v>502048</v>
      </c>
      <c r="C319" s="47" t="s">
        <v>523</v>
      </c>
      <c r="D319" s="48">
        <v>530</v>
      </c>
      <c r="E319" s="43" t="str">
        <f>IF(D319&lt;=0,"",VLOOKUP(D319,[1]FF!A:D,2,0))</f>
        <v>PARTICIPACIONES Ramo 28</v>
      </c>
      <c r="F319" s="37" t="s">
        <v>529</v>
      </c>
      <c r="G319" s="37" t="s">
        <v>461</v>
      </c>
      <c r="H319" s="49">
        <v>211001</v>
      </c>
      <c r="I319" s="44" t="str">
        <f>IF(H319&lt;=0,"",VLOOKUP(H319,[4]COG!A:H,2,0))</f>
        <v>Material de oficina</v>
      </c>
      <c r="J319" s="39">
        <v>0</v>
      </c>
      <c r="K319" s="39">
        <v>0</v>
      </c>
      <c r="L319" s="50"/>
      <c r="M319" s="50"/>
      <c r="N319" s="1">
        <f>Tabla5[[#This Row],[TRIMESTRE  I]]+Tabla5[[#This Row],[TRIMESTRE II]]+Tabla5[[#This Row],[TRIMESTRE III]]+Tabla5[[#This Row],[TRIMESTRE IV]]</f>
        <v>0</v>
      </c>
      <c r="O319" s="39"/>
      <c r="P319" s="39"/>
      <c r="Q319" s="59"/>
    </row>
    <row r="320" spans="2:17" ht="33.75" x14ac:dyDescent="0.2">
      <c r="B320" s="46">
        <v>502048</v>
      </c>
      <c r="C320" s="47" t="s">
        <v>523</v>
      </c>
      <c r="D320" s="48">
        <v>530</v>
      </c>
      <c r="E320" s="43" t="str">
        <f>IF(D320&lt;=0,"",VLOOKUP(D320,[1]FF!A:D,2,0))</f>
        <v>PARTICIPACIONES Ramo 28</v>
      </c>
      <c r="F320" s="37" t="s">
        <v>529</v>
      </c>
      <c r="G320" s="37" t="s">
        <v>461</v>
      </c>
      <c r="H320" s="49">
        <v>214001</v>
      </c>
      <c r="I320" s="44" t="str">
        <f>IF(H320&lt;=0,"",VLOOKUP(H320,[4]COG!A:H,2,0))</f>
        <v>Materiales, útiles y equipos menores de tecnologías de la información y comunicaciones</v>
      </c>
      <c r="J320" s="39">
        <v>0</v>
      </c>
      <c r="K320" s="39">
        <v>0</v>
      </c>
      <c r="L320" s="50"/>
      <c r="M320" s="50"/>
      <c r="N320" s="1">
        <f>Tabla5[[#This Row],[TRIMESTRE  I]]+Tabla5[[#This Row],[TRIMESTRE II]]+Tabla5[[#This Row],[TRIMESTRE III]]+Tabla5[[#This Row],[TRIMESTRE IV]]</f>
        <v>0</v>
      </c>
      <c r="O320" s="39"/>
      <c r="P320" s="39"/>
      <c r="Q320" s="59"/>
    </row>
    <row r="321" spans="2:17" ht="33.75" x14ac:dyDescent="0.2">
      <c r="B321" s="46">
        <v>502048</v>
      </c>
      <c r="C321" s="47" t="s">
        <v>523</v>
      </c>
      <c r="D321" s="48">
        <v>530</v>
      </c>
      <c r="E321" s="43" t="str">
        <f>IF(D321&lt;=0,"",VLOOKUP(D321,[1]FF!A:D,2,0))</f>
        <v>PARTICIPACIONES Ramo 28</v>
      </c>
      <c r="F321" s="37" t="s">
        <v>529</v>
      </c>
      <c r="G321" s="37" t="s">
        <v>461</v>
      </c>
      <c r="H321" s="49">
        <v>216001</v>
      </c>
      <c r="I321" s="44" t="str">
        <f>IF(H321&lt;=0,"",VLOOKUP(H321,[4]COG!A:H,2,0))</f>
        <v>Material de limpieza</v>
      </c>
      <c r="J321" s="39">
        <v>0</v>
      </c>
      <c r="K321" s="39">
        <v>0</v>
      </c>
      <c r="L321" s="50"/>
      <c r="M321" s="50"/>
      <c r="N321" s="1">
        <f>Tabla5[[#This Row],[TRIMESTRE  I]]+Tabla5[[#This Row],[TRIMESTRE II]]+Tabla5[[#This Row],[TRIMESTRE III]]+Tabla5[[#This Row],[TRIMESTRE IV]]</f>
        <v>0</v>
      </c>
      <c r="O321" s="39"/>
      <c r="P321" s="39"/>
      <c r="Q321" s="59"/>
    </row>
    <row r="322" spans="2:17" ht="33.75" x14ac:dyDescent="0.2">
      <c r="B322" s="46">
        <v>502048</v>
      </c>
      <c r="C322" s="47" t="s">
        <v>523</v>
      </c>
      <c r="D322" s="48">
        <v>530</v>
      </c>
      <c r="E322" s="43" t="str">
        <f>IF(D322&lt;=0,"",VLOOKUP(D322,[1]FF!A:D,2,0))</f>
        <v>PARTICIPACIONES Ramo 28</v>
      </c>
      <c r="F322" s="37" t="s">
        <v>529</v>
      </c>
      <c r="G322" s="37" t="s">
        <v>461</v>
      </c>
      <c r="H322" s="49">
        <v>221001</v>
      </c>
      <c r="I322" s="44" t="str">
        <f>IF(H322&lt;=0,"",VLOOKUP(H322,[4]COG!A:H,2,0))</f>
        <v>Alimentación de personas</v>
      </c>
      <c r="J322" s="39">
        <v>0</v>
      </c>
      <c r="K322" s="39">
        <v>0</v>
      </c>
      <c r="L322" s="50"/>
      <c r="M322" s="50"/>
      <c r="N322" s="1">
        <f>Tabla5[[#This Row],[TRIMESTRE  I]]+Tabla5[[#This Row],[TRIMESTRE II]]+Tabla5[[#This Row],[TRIMESTRE III]]+Tabla5[[#This Row],[TRIMESTRE IV]]</f>
        <v>0</v>
      </c>
      <c r="O322" s="39"/>
      <c r="P322" s="39"/>
      <c r="Q322" s="59"/>
    </row>
    <row r="323" spans="2:17" ht="33.75" x14ac:dyDescent="0.2">
      <c r="B323" s="46">
        <v>502048</v>
      </c>
      <c r="C323" s="47" t="s">
        <v>523</v>
      </c>
      <c r="D323" s="48">
        <v>530</v>
      </c>
      <c r="E323" s="43" t="str">
        <f>IF(D323&lt;=0,"",VLOOKUP(D323,[1]FF!A:D,2,0))</f>
        <v>PARTICIPACIONES Ramo 28</v>
      </c>
      <c r="F323" s="37" t="s">
        <v>529</v>
      </c>
      <c r="G323" s="37" t="s">
        <v>461</v>
      </c>
      <c r="H323" s="49">
        <v>251001</v>
      </c>
      <c r="I323" s="44" t="str">
        <f>IF(H323&lt;=0,"",VLOOKUP(H323,[4]COG!A:H,2,0))</f>
        <v>Gas Refrigerante</v>
      </c>
      <c r="J323" s="39">
        <v>0</v>
      </c>
      <c r="K323" s="39">
        <v>0</v>
      </c>
      <c r="L323" s="50"/>
      <c r="M323" s="50"/>
      <c r="N323" s="1">
        <f>Tabla5[[#This Row],[TRIMESTRE  I]]+Tabla5[[#This Row],[TRIMESTRE II]]+Tabla5[[#This Row],[TRIMESTRE III]]+Tabla5[[#This Row],[TRIMESTRE IV]]</f>
        <v>0</v>
      </c>
      <c r="O323" s="39"/>
      <c r="P323" s="39"/>
      <c r="Q323" s="59"/>
    </row>
    <row r="324" spans="2:17" ht="33.75" x14ac:dyDescent="0.2">
      <c r="B324" s="46">
        <v>502048</v>
      </c>
      <c r="C324" s="47" t="s">
        <v>523</v>
      </c>
      <c r="D324" s="48">
        <v>530</v>
      </c>
      <c r="E324" s="43" t="str">
        <f>IF(D324&lt;=0,"",VLOOKUP(D324,[1]FF!A:D,2,0))</f>
        <v>PARTICIPACIONES Ramo 28</v>
      </c>
      <c r="F324" s="37" t="s">
        <v>529</v>
      </c>
      <c r="G324" s="37" t="s">
        <v>461</v>
      </c>
      <c r="H324" s="49">
        <v>253001</v>
      </c>
      <c r="I324" s="44" t="str">
        <f>IF(H324&lt;=0,"",VLOOKUP(H324,[4]COG!A:H,2,0))</f>
        <v>Material y productos químicos, farmacéuticos</v>
      </c>
      <c r="J324" s="39">
        <v>0</v>
      </c>
      <c r="K324" s="39">
        <v>0</v>
      </c>
      <c r="L324" s="50"/>
      <c r="M324" s="50"/>
      <c r="N324" s="1">
        <f>Tabla5[[#This Row],[TRIMESTRE  I]]+Tabla5[[#This Row],[TRIMESTRE II]]+Tabla5[[#This Row],[TRIMESTRE III]]+Tabla5[[#This Row],[TRIMESTRE IV]]</f>
        <v>0</v>
      </c>
      <c r="O324" s="39"/>
      <c r="P324" s="39"/>
      <c r="Q324" s="59"/>
    </row>
    <row r="325" spans="2:17" ht="33.75" x14ac:dyDescent="0.2">
      <c r="B325" s="46">
        <v>502048</v>
      </c>
      <c r="C325" s="47" t="s">
        <v>523</v>
      </c>
      <c r="D325" s="48">
        <v>530</v>
      </c>
      <c r="E325" s="43" t="str">
        <f>IF(D325&lt;=0,"",VLOOKUP(D325,[1]FF!A:D,2,0))</f>
        <v>PARTICIPACIONES Ramo 28</v>
      </c>
      <c r="F325" s="37" t="s">
        <v>529</v>
      </c>
      <c r="G325" s="37" t="s">
        <v>461</v>
      </c>
      <c r="H325" s="49">
        <v>261002</v>
      </c>
      <c r="I325" s="44" t="str">
        <f>IF(H325&lt;=0,"",VLOOKUP(H325,[4]COG!A:H,2,0))</f>
        <v>Lubricantes y aditivos</v>
      </c>
      <c r="J325" s="39">
        <v>0</v>
      </c>
      <c r="K325" s="39">
        <v>0</v>
      </c>
      <c r="L325" s="50"/>
      <c r="M325" s="50"/>
      <c r="N325" s="1">
        <f>Tabla5[[#This Row],[TRIMESTRE  I]]+Tabla5[[#This Row],[TRIMESTRE II]]+Tabla5[[#This Row],[TRIMESTRE III]]+Tabla5[[#This Row],[TRIMESTRE IV]]</f>
        <v>0</v>
      </c>
      <c r="O325" s="39"/>
      <c r="P325" s="39"/>
      <c r="Q325" s="59"/>
    </row>
    <row r="326" spans="2:17" ht="33.75" x14ac:dyDescent="0.2">
      <c r="B326" s="46">
        <v>502048</v>
      </c>
      <c r="C326" s="47" t="s">
        <v>523</v>
      </c>
      <c r="D326" s="48">
        <v>530</v>
      </c>
      <c r="E326" s="43" t="str">
        <f>IF(D326&lt;=0,"",VLOOKUP(D326,[1]FF!A:D,2,0))</f>
        <v>PARTICIPACIONES Ramo 28</v>
      </c>
      <c r="F326" s="37" t="s">
        <v>529</v>
      </c>
      <c r="G326" s="37" t="s">
        <v>461</v>
      </c>
      <c r="H326" s="49">
        <v>291001</v>
      </c>
      <c r="I326" s="44" t="str">
        <f>IF(H326&lt;=0,"",VLOOKUP(H326,[4]COG!A:H,2,0))</f>
        <v>Herramientas Auxiliares de Trabajo</v>
      </c>
      <c r="J326" s="39">
        <v>0</v>
      </c>
      <c r="K326" s="39">
        <v>0</v>
      </c>
      <c r="L326" s="50"/>
      <c r="M326" s="50"/>
      <c r="N326" s="1">
        <f>Tabla5[[#This Row],[TRIMESTRE  I]]+Tabla5[[#This Row],[TRIMESTRE II]]+Tabla5[[#This Row],[TRIMESTRE III]]+Tabla5[[#This Row],[TRIMESTRE IV]]</f>
        <v>0</v>
      </c>
      <c r="O326" s="39"/>
      <c r="P326" s="39"/>
      <c r="Q326" s="59"/>
    </row>
    <row r="327" spans="2:17" ht="33.75" x14ac:dyDescent="0.2">
      <c r="B327" s="46">
        <v>502048</v>
      </c>
      <c r="C327" s="47" t="s">
        <v>523</v>
      </c>
      <c r="D327" s="48">
        <v>530</v>
      </c>
      <c r="E327" s="43" t="str">
        <f>IF(D327&lt;=0,"",VLOOKUP(D327,[1]FF!A:D,2,0))</f>
        <v>PARTICIPACIONES Ramo 28</v>
      </c>
      <c r="F327" s="37" t="s">
        <v>529</v>
      </c>
      <c r="G327" s="37" t="s">
        <v>461</v>
      </c>
      <c r="H327" s="49">
        <v>292001</v>
      </c>
      <c r="I327" s="44" t="str">
        <f>IF(H327&lt;=0,"",VLOOKUP(H327,[4]COG!A:H,2,0))</f>
        <v>Refacciones y accesorios menores de edificios (candados, cerraduras, chapas, llaves)</v>
      </c>
      <c r="J327" s="39">
        <v>0</v>
      </c>
      <c r="K327" s="39">
        <v>0</v>
      </c>
      <c r="L327" s="50"/>
      <c r="M327" s="50"/>
      <c r="N327" s="1">
        <f>Tabla5[[#This Row],[TRIMESTRE  I]]+Tabla5[[#This Row],[TRIMESTRE II]]+Tabla5[[#This Row],[TRIMESTRE III]]+Tabla5[[#This Row],[TRIMESTRE IV]]</f>
        <v>0</v>
      </c>
      <c r="O327" s="39"/>
      <c r="P327" s="39"/>
      <c r="Q327" s="59"/>
    </row>
    <row r="328" spans="2:17" ht="33.75" x14ac:dyDescent="0.2">
      <c r="B328" s="46">
        <v>502048</v>
      </c>
      <c r="C328" s="47" t="s">
        <v>523</v>
      </c>
      <c r="D328" s="48">
        <v>530</v>
      </c>
      <c r="E328" s="43" t="str">
        <f>IF(D328&lt;=0,"",VLOOKUP(D328,[1]FF!A:D,2,0))</f>
        <v>PARTICIPACIONES Ramo 28</v>
      </c>
      <c r="F328" s="37" t="s">
        <v>529</v>
      </c>
      <c r="G328" s="37" t="s">
        <v>461</v>
      </c>
      <c r="H328" s="49">
        <v>294001</v>
      </c>
      <c r="I328" s="44" t="str">
        <f>IF(H328&lt;=0,"",VLOOKUP(H328,[4]COG!A:H,2,0))</f>
        <v>Dispositivos Internos y Externos de Equipo de Computo</v>
      </c>
      <c r="J328" s="39">
        <v>0</v>
      </c>
      <c r="K328" s="39">
        <v>0</v>
      </c>
      <c r="L328" s="50"/>
      <c r="M328" s="50"/>
      <c r="N328" s="1">
        <f>Tabla5[[#This Row],[TRIMESTRE  I]]+Tabla5[[#This Row],[TRIMESTRE II]]+Tabla5[[#This Row],[TRIMESTRE III]]+Tabla5[[#This Row],[TRIMESTRE IV]]</f>
        <v>0</v>
      </c>
      <c r="O328" s="39"/>
      <c r="P328" s="39"/>
      <c r="Q328" s="59"/>
    </row>
    <row r="329" spans="2:17" ht="33.75" x14ac:dyDescent="0.2">
      <c r="B329" s="46">
        <v>502048</v>
      </c>
      <c r="C329" s="47" t="s">
        <v>523</v>
      </c>
      <c r="D329" s="48">
        <v>530</v>
      </c>
      <c r="E329" s="43" t="str">
        <f>IF(D329&lt;=0,"",VLOOKUP(D329,[1]FF!A:D,2,0))</f>
        <v>PARTICIPACIONES Ramo 28</v>
      </c>
      <c r="F329" s="37" t="s">
        <v>529</v>
      </c>
      <c r="G329" s="37" t="s">
        <v>461</v>
      </c>
      <c r="H329" s="49">
        <v>296001</v>
      </c>
      <c r="I329" s="44" t="str">
        <f>IF(H329&lt;=0,"",VLOOKUP(H329,[4]COG!A:H,2,0))</f>
        <v>Herramientas, refacciones y accesorios</v>
      </c>
      <c r="J329" s="39">
        <v>0</v>
      </c>
      <c r="K329" s="39">
        <v>0</v>
      </c>
      <c r="L329" s="50"/>
      <c r="M329" s="50"/>
      <c r="N329" s="1">
        <f>Tabla5[[#This Row],[TRIMESTRE  I]]+Tabla5[[#This Row],[TRIMESTRE II]]+Tabla5[[#This Row],[TRIMESTRE III]]+Tabla5[[#This Row],[TRIMESTRE IV]]</f>
        <v>0</v>
      </c>
      <c r="O329" s="39"/>
      <c r="P329" s="39"/>
      <c r="Q329" s="59"/>
    </row>
    <row r="330" spans="2:17" x14ac:dyDescent="0.2">
      <c r="B330" s="46">
        <v>503049</v>
      </c>
      <c r="C330" s="47" t="s">
        <v>523</v>
      </c>
      <c r="D330" s="48">
        <v>530</v>
      </c>
      <c r="E330" s="43" t="str">
        <f>IF(D330&lt;=0,"",VLOOKUP(D330,[1]FF!A:D,2,0))</f>
        <v>PARTICIPACIONES Ramo 28</v>
      </c>
      <c r="F330" s="37" t="s">
        <v>530</v>
      </c>
      <c r="G330" s="37" t="s">
        <v>461</v>
      </c>
      <c r="H330" s="49">
        <v>211001</v>
      </c>
      <c r="I330" s="44" t="str">
        <f>IF(H330&lt;=0,"",VLOOKUP(H330,[4]COG!A:H,2,0))</f>
        <v>Material de oficina</v>
      </c>
      <c r="J330" s="39">
        <v>738327</v>
      </c>
      <c r="K330" s="39">
        <v>738327</v>
      </c>
      <c r="L330" s="50"/>
      <c r="M330" s="50"/>
      <c r="N330" s="1">
        <f>Tabla5[[#This Row],[TRIMESTRE  I]]+Tabla5[[#This Row],[TRIMESTRE II]]+Tabla5[[#This Row],[TRIMESTRE III]]+Tabla5[[#This Row],[TRIMESTRE IV]]</f>
        <v>1476654</v>
      </c>
      <c r="O330" s="39"/>
      <c r="P330" s="39"/>
      <c r="Q330" s="59"/>
    </row>
    <row r="331" spans="2:17" x14ac:dyDescent="0.2">
      <c r="B331" s="46">
        <v>503049</v>
      </c>
      <c r="C331" s="47" t="s">
        <v>523</v>
      </c>
      <c r="D331" s="48">
        <v>530</v>
      </c>
      <c r="E331" s="43" t="str">
        <f>IF(D331&lt;=0,"",VLOOKUP(D331,[1]FF!A:D,2,0))</f>
        <v>PARTICIPACIONES Ramo 28</v>
      </c>
      <c r="F331" s="37" t="s">
        <v>530</v>
      </c>
      <c r="G331" s="37" t="s">
        <v>461</v>
      </c>
      <c r="H331" s="49">
        <v>212001</v>
      </c>
      <c r="I331" s="44" t="str">
        <f>IF(H331&lt;=0,"",VLOOKUP(H331,[4]COG!A:H,2,0))</f>
        <v>Material y útiles de impresión</v>
      </c>
      <c r="J331" s="39">
        <v>26494</v>
      </c>
      <c r="K331" s="39">
        <v>26496</v>
      </c>
      <c r="L331" s="50"/>
      <c r="M331" s="50"/>
      <c r="N331" s="1">
        <f>Tabla5[[#This Row],[TRIMESTRE  I]]+Tabla5[[#This Row],[TRIMESTRE II]]+Tabla5[[#This Row],[TRIMESTRE III]]+Tabla5[[#This Row],[TRIMESTRE IV]]</f>
        <v>52990</v>
      </c>
      <c r="O331" s="39"/>
      <c r="P331" s="39"/>
      <c r="Q331" s="59"/>
    </row>
    <row r="332" spans="2:17" x14ac:dyDescent="0.2">
      <c r="B332" s="46">
        <v>503049</v>
      </c>
      <c r="C332" s="47" t="s">
        <v>523</v>
      </c>
      <c r="D332" s="48">
        <v>530</v>
      </c>
      <c r="E332" s="43" t="str">
        <f>IF(D332&lt;=0,"",VLOOKUP(D332,[1]FF!A:D,2,0))</f>
        <v>PARTICIPACIONES Ramo 28</v>
      </c>
      <c r="F332" s="37" t="s">
        <v>530</v>
      </c>
      <c r="G332" s="37" t="s">
        <v>461</v>
      </c>
      <c r="H332" s="49">
        <v>213001</v>
      </c>
      <c r="I332" s="44" t="str">
        <f>IF(H332&lt;=0,"",VLOOKUP(H332,[4]COG!A:H,2,0))</f>
        <v>Material estadístico y geográfico</v>
      </c>
      <c r="J332" s="39">
        <v>75225</v>
      </c>
      <c r="K332" s="39">
        <v>75225</v>
      </c>
      <c r="L332" s="50"/>
      <c r="M332" s="50"/>
      <c r="N332" s="1">
        <f>Tabla5[[#This Row],[TRIMESTRE  I]]+Tabla5[[#This Row],[TRIMESTRE II]]+Tabla5[[#This Row],[TRIMESTRE III]]+Tabla5[[#This Row],[TRIMESTRE IV]]</f>
        <v>150450</v>
      </c>
      <c r="O332" s="39"/>
      <c r="P332" s="39"/>
      <c r="Q332" s="59"/>
    </row>
    <row r="333" spans="2:17" ht="27" x14ac:dyDescent="0.2">
      <c r="B333" s="46">
        <v>503049</v>
      </c>
      <c r="C333" s="47" t="s">
        <v>523</v>
      </c>
      <c r="D333" s="48">
        <v>530</v>
      </c>
      <c r="E333" s="43" t="str">
        <f>IF(D333&lt;=0,"",VLOOKUP(D333,[1]FF!A:D,2,0))</f>
        <v>PARTICIPACIONES Ramo 28</v>
      </c>
      <c r="F333" s="37" t="s">
        <v>530</v>
      </c>
      <c r="G333" s="37" t="s">
        <v>461</v>
      </c>
      <c r="H333" s="49">
        <v>214001</v>
      </c>
      <c r="I333" s="44" t="str">
        <f>IF(H333&lt;=0,"",VLOOKUP(H333,[4]COG!A:H,2,0))</f>
        <v>Materiales, útiles y equipos menores de tecnologías de la información y comunicaciones</v>
      </c>
      <c r="J333" s="39">
        <v>857176</v>
      </c>
      <c r="K333" s="39">
        <v>907176</v>
      </c>
      <c r="L333" s="50"/>
      <c r="M333" s="50"/>
      <c r="N333" s="1">
        <f>Tabla5[[#This Row],[TRIMESTRE  I]]+Tabla5[[#This Row],[TRIMESTRE II]]+Tabla5[[#This Row],[TRIMESTRE III]]+Tabla5[[#This Row],[TRIMESTRE IV]]</f>
        <v>1764352</v>
      </c>
      <c r="O333" s="39"/>
      <c r="P333" s="39"/>
      <c r="Q333" s="59"/>
    </row>
    <row r="334" spans="2:17" x14ac:dyDescent="0.2">
      <c r="B334" s="46">
        <v>503049</v>
      </c>
      <c r="C334" s="47" t="s">
        <v>523</v>
      </c>
      <c r="D334" s="48">
        <v>530</v>
      </c>
      <c r="E334" s="43" t="str">
        <f>IF(D334&lt;=0,"",VLOOKUP(D334,[1]FF!A:D,2,0))</f>
        <v>PARTICIPACIONES Ramo 28</v>
      </c>
      <c r="F334" s="37" t="s">
        <v>530</v>
      </c>
      <c r="G334" s="37" t="s">
        <v>461</v>
      </c>
      <c r="H334" s="49">
        <v>215001</v>
      </c>
      <c r="I334" s="44" t="str">
        <f>IF(H334&lt;=0,"",VLOOKUP(H334,[4]COG!A:H,2,0))</f>
        <v>Material didáctico</v>
      </c>
      <c r="J334" s="39">
        <v>408</v>
      </c>
      <c r="K334" s="39">
        <v>408</v>
      </c>
      <c r="L334" s="50"/>
      <c r="M334" s="50"/>
      <c r="N334" s="1">
        <f>Tabla5[[#This Row],[TRIMESTRE  I]]+Tabla5[[#This Row],[TRIMESTRE II]]+Tabla5[[#This Row],[TRIMESTRE III]]+Tabla5[[#This Row],[TRIMESTRE IV]]</f>
        <v>816</v>
      </c>
      <c r="O334" s="39"/>
      <c r="P334" s="39"/>
      <c r="Q334" s="59"/>
    </row>
    <row r="335" spans="2:17" ht="18" x14ac:dyDescent="0.2">
      <c r="B335" s="46">
        <v>503049</v>
      </c>
      <c r="C335" s="47" t="s">
        <v>523</v>
      </c>
      <c r="D335" s="48">
        <v>530</v>
      </c>
      <c r="E335" s="43" t="str">
        <f>IF(D335&lt;=0,"",VLOOKUP(D335,[1]FF!A:D,2,0))</f>
        <v>PARTICIPACIONES Ramo 28</v>
      </c>
      <c r="F335" s="37" t="s">
        <v>530</v>
      </c>
      <c r="G335" s="37" t="s">
        <v>461</v>
      </c>
      <c r="H335" s="49">
        <v>215002</v>
      </c>
      <c r="I335" s="44" t="str">
        <f>IF(H335&lt;=0,"",VLOOKUP(H335,[4]COG!A:H,2,0))</f>
        <v>Suscripciones a Periódicos, Revistas y Publicaciones Especializadas</v>
      </c>
      <c r="J335" s="39">
        <v>0</v>
      </c>
      <c r="K335" s="39">
        <v>0</v>
      </c>
      <c r="L335" s="50"/>
      <c r="M335" s="50"/>
      <c r="N335" s="1">
        <f>Tabla5[[#This Row],[TRIMESTRE  I]]+Tabla5[[#This Row],[TRIMESTRE II]]+Tabla5[[#This Row],[TRIMESTRE III]]+Tabla5[[#This Row],[TRIMESTRE IV]]</f>
        <v>0</v>
      </c>
      <c r="O335" s="39"/>
      <c r="P335" s="39"/>
      <c r="Q335" s="59"/>
    </row>
    <row r="336" spans="2:17" x14ac:dyDescent="0.2">
      <c r="B336" s="46">
        <v>503049</v>
      </c>
      <c r="C336" s="47" t="s">
        <v>523</v>
      </c>
      <c r="D336" s="48">
        <v>530</v>
      </c>
      <c r="E336" s="43" t="str">
        <f>IF(D336&lt;=0,"",VLOOKUP(D336,[1]FF!A:D,2,0))</f>
        <v>PARTICIPACIONES Ramo 28</v>
      </c>
      <c r="F336" s="37" t="s">
        <v>530</v>
      </c>
      <c r="G336" s="37" t="s">
        <v>461</v>
      </c>
      <c r="H336" s="49">
        <v>216001</v>
      </c>
      <c r="I336" s="44" t="str">
        <f>IF(H336&lt;=0,"",VLOOKUP(H336,[4]COG!A:H,2,0))</f>
        <v>Material de limpieza</v>
      </c>
      <c r="J336" s="39">
        <v>1152</v>
      </c>
      <c r="K336" s="39">
        <v>1152</v>
      </c>
      <c r="L336" s="50"/>
      <c r="M336" s="50"/>
      <c r="N336" s="1">
        <f>Tabla5[[#This Row],[TRIMESTRE  I]]+Tabla5[[#This Row],[TRIMESTRE II]]+Tabla5[[#This Row],[TRIMESTRE III]]+Tabla5[[#This Row],[TRIMESTRE IV]]</f>
        <v>2304</v>
      </c>
      <c r="O336" s="39"/>
      <c r="P336" s="39"/>
      <c r="Q336" s="59"/>
    </row>
    <row r="337" spans="2:17" ht="18" x14ac:dyDescent="0.2">
      <c r="B337" s="46">
        <v>503049</v>
      </c>
      <c r="C337" s="47" t="s">
        <v>523</v>
      </c>
      <c r="D337" s="48">
        <v>530</v>
      </c>
      <c r="E337" s="43" t="str">
        <f>IF(D337&lt;=0,"",VLOOKUP(D337,[1]FF!A:D,2,0))</f>
        <v>PARTICIPACIONES Ramo 28</v>
      </c>
      <c r="F337" s="37" t="s">
        <v>530</v>
      </c>
      <c r="G337" s="37" t="s">
        <v>461</v>
      </c>
      <c r="H337" s="49">
        <v>218002</v>
      </c>
      <c r="I337" s="44" t="str">
        <f>IF(H337&lt;=0,"",VLOOKUP(H337,[4]COG!A:H,2,0))</f>
        <v>Placas, Engomados, Calcomanías y Hologramas</v>
      </c>
      <c r="J337" s="39">
        <v>22772093.399999999</v>
      </c>
      <c r="K337" s="39">
        <v>0</v>
      </c>
      <c r="L337" s="50"/>
      <c r="M337" s="50"/>
      <c r="N337" s="1">
        <f>Tabla5[[#This Row],[TRIMESTRE  I]]+Tabla5[[#This Row],[TRIMESTRE II]]+Tabla5[[#This Row],[TRIMESTRE III]]+Tabla5[[#This Row],[TRIMESTRE IV]]</f>
        <v>22772093.399999999</v>
      </c>
      <c r="O337" s="39"/>
      <c r="P337" s="39"/>
      <c r="Q337" s="59"/>
    </row>
    <row r="338" spans="2:17" ht="18" x14ac:dyDescent="0.2">
      <c r="B338" s="46">
        <v>503049</v>
      </c>
      <c r="C338" s="47" t="s">
        <v>523</v>
      </c>
      <c r="D338" s="48">
        <v>530</v>
      </c>
      <c r="E338" s="43" t="str">
        <f>IF(D338&lt;=0,"",VLOOKUP(D338,[1]FF!A:D,2,0))</f>
        <v>PARTICIPACIONES Ramo 28</v>
      </c>
      <c r="F338" s="37" t="s">
        <v>530</v>
      </c>
      <c r="G338" s="37" t="s">
        <v>461</v>
      </c>
      <c r="H338" s="49">
        <v>218004</v>
      </c>
      <c r="I338" s="44" t="str">
        <f>IF(H338&lt;=0,"",VLOOKUP(H338,[4]COG!A:H,2,0))</f>
        <v>Emisión de Formatos Únicos de Control Vehicular</v>
      </c>
      <c r="J338" s="39">
        <v>75000</v>
      </c>
      <c r="K338" s="39">
        <v>75000</v>
      </c>
      <c r="L338" s="50"/>
      <c r="M338" s="50"/>
      <c r="N338" s="1">
        <f>Tabla5[[#This Row],[TRIMESTRE  I]]+Tabla5[[#This Row],[TRIMESTRE II]]+Tabla5[[#This Row],[TRIMESTRE III]]+Tabla5[[#This Row],[TRIMESTRE IV]]</f>
        <v>150000</v>
      </c>
      <c r="O338" s="39"/>
      <c r="P338" s="39"/>
      <c r="Q338" s="59"/>
    </row>
    <row r="339" spans="2:17" x14ac:dyDescent="0.2">
      <c r="B339" s="46">
        <v>503049</v>
      </c>
      <c r="C339" s="47" t="s">
        <v>523</v>
      </c>
      <c r="D339" s="48">
        <v>530</v>
      </c>
      <c r="E339" s="43" t="str">
        <f>IF(D339&lt;=0,"",VLOOKUP(D339,[1]FF!A:D,2,0))</f>
        <v>PARTICIPACIONES Ramo 28</v>
      </c>
      <c r="F339" s="37" t="s">
        <v>530</v>
      </c>
      <c r="G339" s="37" t="s">
        <v>461</v>
      </c>
      <c r="H339" s="49">
        <v>221001</v>
      </c>
      <c r="I339" s="44" t="str">
        <f>IF(H339&lt;=0,"",VLOOKUP(H339,[4]COG!A:H,2,0))</f>
        <v>Alimentación de personas</v>
      </c>
      <c r="J339" s="39">
        <v>0</v>
      </c>
      <c r="K339" s="39">
        <v>0</v>
      </c>
      <c r="L339" s="50"/>
      <c r="M339" s="50"/>
      <c r="N339" s="1">
        <f>Tabla5[[#This Row],[TRIMESTRE  I]]+Tabla5[[#This Row],[TRIMESTRE II]]+Tabla5[[#This Row],[TRIMESTRE III]]+Tabla5[[#This Row],[TRIMESTRE IV]]</f>
        <v>0</v>
      </c>
      <c r="O339" s="39"/>
      <c r="P339" s="39"/>
      <c r="Q339" s="59"/>
    </row>
    <row r="340" spans="2:17" x14ac:dyDescent="0.2">
      <c r="B340" s="46">
        <v>503049</v>
      </c>
      <c r="C340" s="47" t="s">
        <v>523</v>
      </c>
      <c r="D340" s="48">
        <v>530</v>
      </c>
      <c r="E340" s="43" t="str">
        <f>IF(D340&lt;=0,"",VLOOKUP(D340,[1]FF!A:D,2,0))</f>
        <v>PARTICIPACIONES Ramo 28</v>
      </c>
      <c r="F340" s="37" t="s">
        <v>530</v>
      </c>
      <c r="G340" s="37" t="s">
        <v>461</v>
      </c>
      <c r="H340" s="49">
        <v>245001</v>
      </c>
      <c r="I340" s="44" t="str">
        <f>IF(H340&lt;=0,"",VLOOKUP(H340,[4]COG!A:H,2,0))</f>
        <v>Vidrio y productos de vidrio</v>
      </c>
      <c r="J340" s="39">
        <v>44825</v>
      </c>
      <c r="K340" s="39">
        <v>54825</v>
      </c>
      <c r="L340" s="50"/>
      <c r="M340" s="50"/>
      <c r="N340" s="1">
        <f>Tabla5[[#This Row],[TRIMESTRE  I]]+Tabla5[[#This Row],[TRIMESTRE II]]+Tabla5[[#This Row],[TRIMESTRE III]]+Tabla5[[#This Row],[TRIMESTRE IV]]</f>
        <v>99650</v>
      </c>
      <c r="O340" s="39"/>
      <c r="P340" s="39"/>
      <c r="Q340" s="59"/>
    </row>
    <row r="341" spans="2:17" x14ac:dyDescent="0.2">
      <c r="B341" s="46">
        <v>503049</v>
      </c>
      <c r="C341" s="47" t="s">
        <v>523</v>
      </c>
      <c r="D341" s="48">
        <v>530</v>
      </c>
      <c r="E341" s="43" t="str">
        <f>IF(D341&lt;=0,"",VLOOKUP(D341,[1]FF!A:D,2,0))</f>
        <v>PARTICIPACIONES Ramo 28</v>
      </c>
      <c r="F341" s="37" t="s">
        <v>530</v>
      </c>
      <c r="G341" s="37" t="s">
        <v>461</v>
      </c>
      <c r="H341" s="49">
        <v>246001</v>
      </c>
      <c r="I341" s="44" t="str">
        <f>IF(H341&lt;=0,"",VLOOKUP(H341,[4]COG!A:H,2,0))</f>
        <v>Material eléctrico</v>
      </c>
      <c r="J341" s="39">
        <v>42162</v>
      </c>
      <c r="K341" s="39">
        <v>42162</v>
      </c>
      <c r="L341" s="50"/>
      <c r="M341" s="50"/>
      <c r="N341" s="1">
        <f>Tabla5[[#This Row],[TRIMESTRE  I]]+Tabla5[[#This Row],[TRIMESTRE II]]+Tabla5[[#This Row],[TRIMESTRE III]]+Tabla5[[#This Row],[TRIMESTRE IV]]</f>
        <v>84324</v>
      </c>
      <c r="O341" s="39"/>
      <c r="P341" s="39"/>
      <c r="Q341" s="59"/>
    </row>
    <row r="342" spans="2:17" ht="18" x14ac:dyDescent="0.2">
      <c r="B342" s="46">
        <v>503049</v>
      </c>
      <c r="C342" s="47" t="s">
        <v>523</v>
      </c>
      <c r="D342" s="48">
        <v>530</v>
      </c>
      <c r="E342" s="43" t="str">
        <f>IF(D342&lt;=0,"",VLOOKUP(D342,[1]FF!A:D,2,0))</f>
        <v>PARTICIPACIONES Ramo 28</v>
      </c>
      <c r="F342" s="37" t="s">
        <v>530</v>
      </c>
      <c r="G342" s="37" t="s">
        <v>461</v>
      </c>
      <c r="H342" s="49">
        <v>253001</v>
      </c>
      <c r="I342" s="44" t="str">
        <f>IF(H342&lt;=0,"",VLOOKUP(H342,[4]COG!A:H,2,0))</f>
        <v>Material y productos químicos, farmacéuticos</v>
      </c>
      <c r="J342" s="39">
        <v>0</v>
      </c>
      <c r="K342" s="39">
        <v>0</v>
      </c>
      <c r="L342" s="50"/>
      <c r="M342" s="50"/>
      <c r="N342" s="1">
        <f>Tabla5[[#This Row],[TRIMESTRE  I]]+Tabla5[[#This Row],[TRIMESTRE II]]+Tabla5[[#This Row],[TRIMESTRE III]]+Tabla5[[#This Row],[TRIMESTRE IV]]</f>
        <v>0</v>
      </c>
      <c r="O342" s="39"/>
      <c r="P342" s="39"/>
      <c r="Q342" s="59"/>
    </row>
    <row r="343" spans="2:17" ht="18" x14ac:dyDescent="0.2">
      <c r="B343" s="46">
        <v>503049</v>
      </c>
      <c r="C343" s="47" t="s">
        <v>523</v>
      </c>
      <c r="D343" s="48">
        <v>530</v>
      </c>
      <c r="E343" s="43" t="str">
        <f>IF(D343&lt;=0,"",VLOOKUP(D343,[1]FF!A:D,2,0))</f>
        <v>PARTICIPACIONES Ramo 28</v>
      </c>
      <c r="F343" s="37" t="s">
        <v>530</v>
      </c>
      <c r="G343" s="37" t="s">
        <v>461</v>
      </c>
      <c r="H343" s="49">
        <v>256001</v>
      </c>
      <c r="I343" s="44" t="str">
        <f>IF(H343&lt;=0,"",VLOOKUP(H343,[4]COG!A:H,2,0))</f>
        <v>Fibras sintéticas, hules, plásticos y derivados</v>
      </c>
      <c r="J343" s="39">
        <v>57930</v>
      </c>
      <c r="K343" s="39">
        <v>72930</v>
      </c>
      <c r="L343" s="50"/>
      <c r="M343" s="50"/>
      <c r="N343" s="1">
        <f>Tabla5[[#This Row],[TRIMESTRE  I]]+Tabla5[[#This Row],[TRIMESTRE II]]+Tabla5[[#This Row],[TRIMESTRE III]]+Tabla5[[#This Row],[TRIMESTRE IV]]</f>
        <v>130860</v>
      </c>
      <c r="O343" s="39"/>
      <c r="P343" s="39"/>
      <c r="Q343" s="59"/>
    </row>
    <row r="344" spans="2:17" x14ac:dyDescent="0.2">
      <c r="B344" s="46">
        <v>503049</v>
      </c>
      <c r="C344" s="47" t="s">
        <v>523</v>
      </c>
      <c r="D344" s="48">
        <v>530</v>
      </c>
      <c r="E344" s="43" t="str">
        <f>IF(D344&lt;=0,"",VLOOKUP(D344,[1]FF!A:D,2,0))</f>
        <v>PARTICIPACIONES Ramo 28</v>
      </c>
      <c r="F344" s="37" t="s">
        <v>530</v>
      </c>
      <c r="G344" s="37" t="s">
        <v>461</v>
      </c>
      <c r="H344" s="49">
        <v>261001</v>
      </c>
      <c r="I344" s="44" t="str">
        <f>IF(H344&lt;=0,"",VLOOKUP(H344,[4]COG!A:H,2,0))</f>
        <v>Combustibles</v>
      </c>
      <c r="J344" s="39">
        <v>82296</v>
      </c>
      <c r="K344" s="39">
        <v>82296</v>
      </c>
      <c r="L344" s="50"/>
      <c r="M344" s="50"/>
      <c r="N344" s="1">
        <f>Tabla5[[#This Row],[TRIMESTRE  I]]+Tabla5[[#This Row],[TRIMESTRE II]]+Tabla5[[#This Row],[TRIMESTRE III]]+Tabla5[[#This Row],[TRIMESTRE IV]]</f>
        <v>164592</v>
      </c>
      <c r="O344" s="39"/>
      <c r="P344" s="39"/>
      <c r="Q344" s="59"/>
    </row>
    <row r="345" spans="2:17" x14ac:dyDescent="0.2">
      <c r="B345" s="46">
        <v>503049</v>
      </c>
      <c r="C345" s="47" t="s">
        <v>523</v>
      </c>
      <c r="D345" s="48">
        <v>530</v>
      </c>
      <c r="E345" s="43" t="str">
        <f>IF(D345&lt;=0,"",VLOOKUP(D345,[1]FF!A:D,2,0))</f>
        <v>PARTICIPACIONES Ramo 28</v>
      </c>
      <c r="F345" s="37" t="s">
        <v>530</v>
      </c>
      <c r="G345" s="37" t="s">
        <v>461</v>
      </c>
      <c r="H345" s="49">
        <v>261002</v>
      </c>
      <c r="I345" s="44" t="str">
        <f>IF(H345&lt;=0,"",VLOOKUP(H345,[4]COG!A:H,2,0))</f>
        <v>Lubricantes y aditivos</v>
      </c>
      <c r="J345" s="39">
        <v>0</v>
      </c>
      <c r="K345" s="39">
        <v>0</v>
      </c>
      <c r="L345" s="50"/>
      <c r="M345" s="50"/>
      <c r="N345" s="1">
        <f>Tabla5[[#This Row],[TRIMESTRE  I]]+Tabla5[[#This Row],[TRIMESTRE II]]+Tabla5[[#This Row],[TRIMESTRE III]]+Tabla5[[#This Row],[TRIMESTRE IV]]</f>
        <v>0</v>
      </c>
      <c r="O345" s="39"/>
      <c r="P345" s="39"/>
      <c r="Q345" s="59"/>
    </row>
    <row r="346" spans="2:17" x14ac:dyDescent="0.2">
      <c r="B346" s="46">
        <v>503049</v>
      </c>
      <c r="C346" s="47" t="s">
        <v>523</v>
      </c>
      <c r="D346" s="48">
        <v>530</v>
      </c>
      <c r="E346" s="43" t="str">
        <f>IF(D346&lt;=0,"",VLOOKUP(D346,[1]FF!A:D,2,0))</f>
        <v>PARTICIPACIONES Ramo 28</v>
      </c>
      <c r="F346" s="37" t="s">
        <v>530</v>
      </c>
      <c r="G346" s="37" t="s">
        <v>461</v>
      </c>
      <c r="H346" s="49">
        <v>271001</v>
      </c>
      <c r="I346" s="44" t="str">
        <f>IF(H346&lt;=0,"",VLOOKUP(H346,[4]COG!A:H,2,0))</f>
        <v>Ropa, vestuario y equipo</v>
      </c>
      <c r="J346" s="39">
        <v>4293</v>
      </c>
      <c r="K346" s="39">
        <v>4293</v>
      </c>
      <c r="L346" s="50"/>
      <c r="M346" s="50"/>
      <c r="N346" s="1">
        <f>Tabla5[[#This Row],[TRIMESTRE  I]]+Tabla5[[#This Row],[TRIMESTRE II]]+Tabla5[[#This Row],[TRIMESTRE III]]+Tabla5[[#This Row],[TRIMESTRE IV]]</f>
        <v>8586</v>
      </c>
      <c r="O346" s="39"/>
      <c r="P346" s="39"/>
      <c r="Q346" s="59"/>
    </row>
    <row r="347" spans="2:17" x14ac:dyDescent="0.2">
      <c r="B347" s="46">
        <v>503049</v>
      </c>
      <c r="C347" s="47" t="s">
        <v>523</v>
      </c>
      <c r="D347" s="48">
        <v>530</v>
      </c>
      <c r="E347" s="43" t="str">
        <f>IF(D347&lt;=0,"",VLOOKUP(D347,[1]FF!A:D,2,0))</f>
        <v>PARTICIPACIONES Ramo 28</v>
      </c>
      <c r="F347" s="37" t="s">
        <v>530</v>
      </c>
      <c r="G347" s="37" t="s">
        <v>461</v>
      </c>
      <c r="H347" s="49">
        <v>273001</v>
      </c>
      <c r="I347" s="44" t="str">
        <f>IF(H347&lt;=0,"",VLOOKUP(H347,[4]COG!A:H,2,0))</f>
        <v>Artículos deportivos</v>
      </c>
      <c r="J347" s="39">
        <v>56808</v>
      </c>
      <c r="K347" s="39">
        <v>71808</v>
      </c>
      <c r="L347" s="50"/>
      <c r="M347" s="50"/>
      <c r="N347" s="1">
        <f>Tabla5[[#This Row],[TRIMESTRE  I]]+Tabla5[[#This Row],[TRIMESTRE II]]+Tabla5[[#This Row],[TRIMESTRE III]]+Tabla5[[#This Row],[TRIMESTRE IV]]</f>
        <v>128616</v>
      </c>
      <c r="O347" s="39"/>
      <c r="P347" s="39"/>
      <c r="Q347" s="59"/>
    </row>
    <row r="348" spans="2:17" x14ac:dyDescent="0.2">
      <c r="B348" s="46">
        <v>503049</v>
      </c>
      <c r="C348" s="47" t="s">
        <v>523</v>
      </c>
      <c r="D348" s="48">
        <v>530</v>
      </c>
      <c r="E348" s="43" t="str">
        <f>IF(D348&lt;=0,"",VLOOKUP(D348,[1]FF!A:D,2,0))</f>
        <v>PARTICIPACIONES Ramo 28</v>
      </c>
      <c r="F348" s="37" t="s">
        <v>530</v>
      </c>
      <c r="G348" s="37" t="s">
        <v>461</v>
      </c>
      <c r="H348" s="49">
        <v>274001</v>
      </c>
      <c r="I348" s="44" t="str">
        <f>IF(H348&lt;=0,"",VLOOKUP(H348,[4]COG!A:H,2,0))</f>
        <v>Productos textiles</v>
      </c>
      <c r="J348" s="39">
        <v>0</v>
      </c>
      <c r="K348" s="39">
        <v>0</v>
      </c>
      <c r="L348" s="50"/>
      <c r="M348" s="50"/>
      <c r="N348" s="1">
        <f>Tabla5[[#This Row],[TRIMESTRE  I]]+Tabla5[[#This Row],[TRIMESTRE II]]+Tabla5[[#This Row],[TRIMESTRE III]]+Tabla5[[#This Row],[TRIMESTRE IV]]</f>
        <v>0</v>
      </c>
      <c r="O348" s="39"/>
      <c r="P348" s="39"/>
      <c r="Q348" s="59"/>
    </row>
    <row r="349" spans="2:17" x14ac:dyDescent="0.2">
      <c r="B349" s="46">
        <v>503049</v>
      </c>
      <c r="C349" s="47" t="s">
        <v>523</v>
      </c>
      <c r="D349" s="48">
        <v>530</v>
      </c>
      <c r="E349" s="43" t="str">
        <f>IF(D349&lt;=0,"",VLOOKUP(D349,[1]FF!A:D,2,0))</f>
        <v>PARTICIPACIONES Ramo 28</v>
      </c>
      <c r="F349" s="37" t="s">
        <v>530</v>
      </c>
      <c r="G349" s="37" t="s">
        <v>461</v>
      </c>
      <c r="H349" s="49">
        <v>291001</v>
      </c>
      <c r="I349" s="44" t="str">
        <f>IF(H349&lt;=0,"",VLOOKUP(H349,[4]COG!A:H,2,0))</f>
        <v>Herramientas Auxiliares de Trabajo</v>
      </c>
      <c r="J349" s="39">
        <v>60225</v>
      </c>
      <c r="K349" s="39">
        <v>75225</v>
      </c>
      <c r="L349" s="50"/>
      <c r="M349" s="50"/>
      <c r="N349" s="1">
        <f>Tabla5[[#This Row],[TRIMESTRE  I]]+Tabla5[[#This Row],[TRIMESTRE II]]+Tabla5[[#This Row],[TRIMESTRE III]]+Tabla5[[#This Row],[TRIMESTRE IV]]</f>
        <v>135450</v>
      </c>
      <c r="O349" s="39"/>
      <c r="P349" s="39"/>
      <c r="Q349" s="59"/>
    </row>
    <row r="350" spans="2:17" ht="27" x14ac:dyDescent="0.2">
      <c r="B350" s="46">
        <v>503049</v>
      </c>
      <c r="C350" s="47" t="s">
        <v>523</v>
      </c>
      <c r="D350" s="48">
        <v>530</v>
      </c>
      <c r="E350" s="43" t="str">
        <f>IF(D350&lt;=0,"",VLOOKUP(D350,[1]FF!A:D,2,0))</f>
        <v>PARTICIPACIONES Ramo 28</v>
      </c>
      <c r="F350" s="37" t="s">
        <v>530</v>
      </c>
      <c r="G350" s="37" t="s">
        <v>461</v>
      </c>
      <c r="H350" s="49">
        <v>293001</v>
      </c>
      <c r="I350" s="44" t="str">
        <f>IF(H350&lt;=0,"",VLOOKUP(H350,[4]COG!A:H,2,0))</f>
        <v>Refacciones y accesorios menores de mobiliario y equipo de administración, educacional y recreativo</v>
      </c>
      <c r="J350" s="39">
        <v>78075</v>
      </c>
      <c r="K350" s="39">
        <v>93075</v>
      </c>
      <c r="L350" s="50"/>
      <c r="M350" s="50"/>
      <c r="N350" s="1">
        <f>Tabla5[[#This Row],[TRIMESTRE  I]]+Tabla5[[#This Row],[TRIMESTRE II]]+Tabla5[[#This Row],[TRIMESTRE III]]+Tabla5[[#This Row],[TRIMESTRE IV]]</f>
        <v>171150</v>
      </c>
      <c r="O350" s="39"/>
      <c r="P350" s="39"/>
      <c r="Q350" s="59"/>
    </row>
    <row r="351" spans="2:17" ht="18" x14ac:dyDescent="0.2">
      <c r="B351" s="46">
        <v>503049</v>
      </c>
      <c r="C351" s="47" t="s">
        <v>523</v>
      </c>
      <c r="D351" s="48">
        <v>530</v>
      </c>
      <c r="E351" s="43" t="str">
        <f>IF(D351&lt;=0,"",VLOOKUP(D351,[1]FF!A:D,2,0))</f>
        <v>PARTICIPACIONES Ramo 28</v>
      </c>
      <c r="F351" s="37" t="s">
        <v>530</v>
      </c>
      <c r="G351" s="37" t="s">
        <v>461</v>
      </c>
      <c r="H351" s="49">
        <v>294001</v>
      </c>
      <c r="I351" s="44" t="str">
        <f>IF(H351&lt;=0,"",VLOOKUP(H351,[4]COG!A:H,2,0))</f>
        <v>Dispositivos Internos y Externos de Equipo de Computo</v>
      </c>
      <c r="J351" s="39">
        <v>53750</v>
      </c>
      <c r="K351" s="39">
        <v>63750</v>
      </c>
      <c r="L351" s="50"/>
      <c r="M351" s="50"/>
      <c r="N351" s="1">
        <f>Tabla5[[#This Row],[TRIMESTRE  I]]+Tabla5[[#This Row],[TRIMESTRE II]]+Tabla5[[#This Row],[TRIMESTRE III]]+Tabla5[[#This Row],[TRIMESTRE IV]]</f>
        <v>117500</v>
      </c>
      <c r="O351" s="39"/>
      <c r="P351" s="39"/>
      <c r="Q351" s="59"/>
    </row>
    <row r="352" spans="2:17" x14ac:dyDescent="0.2">
      <c r="B352" s="46">
        <v>503049</v>
      </c>
      <c r="C352" s="47" t="s">
        <v>523</v>
      </c>
      <c r="D352" s="48">
        <v>530</v>
      </c>
      <c r="E352" s="43" t="str">
        <f>IF(D352&lt;=0,"",VLOOKUP(D352,[1]FF!A:D,2,0))</f>
        <v>PARTICIPACIONES Ramo 28</v>
      </c>
      <c r="F352" s="37" t="s">
        <v>530</v>
      </c>
      <c r="G352" s="37" t="s">
        <v>461</v>
      </c>
      <c r="H352" s="49">
        <v>296001</v>
      </c>
      <c r="I352" s="44" t="str">
        <f>IF(H352&lt;=0,"",VLOOKUP(H352,[4]COG!A:H,2,0))</f>
        <v>Herramientas, refacciones y accesorios</v>
      </c>
      <c r="J352" s="39">
        <v>1530</v>
      </c>
      <c r="K352" s="39">
        <v>1530</v>
      </c>
      <c r="L352" s="50"/>
      <c r="M352" s="50"/>
      <c r="N352" s="1">
        <f>Tabla5[[#This Row],[TRIMESTRE  I]]+Tabla5[[#This Row],[TRIMESTRE II]]+Tabla5[[#This Row],[TRIMESTRE III]]+Tabla5[[#This Row],[TRIMESTRE IV]]</f>
        <v>3060</v>
      </c>
      <c r="O352" s="39"/>
      <c r="P352" s="39"/>
      <c r="Q352" s="59"/>
    </row>
    <row r="353" spans="2:17" ht="18" x14ac:dyDescent="0.2">
      <c r="B353" s="46">
        <v>503049</v>
      </c>
      <c r="C353" s="47" t="s">
        <v>523</v>
      </c>
      <c r="D353" s="48">
        <v>530</v>
      </c>
      <c r="E353" s="43" t="str">
        <f>IF(D353&lt;=0,"",VLOOKUP(D353,[1]FF!A:D,2,0))</f>
        <v>PARTICIPACIONES Ramo 28</v>
      </c>
      <c r="F353" s="37" t="s">
        <v>530</v>
      </c>
      <c r="G353" s="37" t="s">
        <v>461</v>
      </c>
      <c r="H353" s="49">
        <v>297001</v>
      </c>
      <c r="I353" s="44" t="str">
        <f>IF(H353&lt;=0,"",VLOOKUP(H353,[4]COG!A:H,2,0))</f>
        <v>Refacciones y accesorios menores de equipo de defensa y seguridad</v>
      </c>
      <c r="J353" s="39">
        <v>0</v>
      </c>
      <c r="K353" s="39">
        <v>0</v>
      </c>
      <c r="L353" s="50"/>
      <c r="M353" s="50"/>
      <c r="N353" s="1">
        <f>Tabla5[[#This Row],[TRIMESTRE  I]]+Tabla5[[#This Row],[TRIMESTRE II]]+Tabla5[[#This Row],[TRIMESTRE III]]+Tabla5[[#This Row],[TRIMESTRE IV]]</f>
        <v>0</v>
      </c>
      <c r="O353" s="39"/>
      <c r="P353" s="39"/>
      <c r="Q353" s="59"/>
    </row>
    <row r="354" spans="2:17" ht="18" x14ac:dyDescent="0.2">
      <c r="B354" s="46">
        <v>503049</v>
      </c>
      <c r="C354" s="47" t="s">
        <v>523</v>
      </c>
      <c r="D354" s="48">
        <v>530</v>
      </c>
      <c r="E354" s="43" t="str">
        <f>IF(D354&lt;=0,"",VLOOKUP(D354,[1]FF!A:D,2,0))</f>
        <v>PARTICIPACIONES Ramo 28</v>
      </c>
      <c r="F354" s="37" t="s">
        <v>530</v>
      </c>
      <c r="G354" s="37" t="s">
        <v>461</v>
      </c>
      <c r="H354" s="49">
        <v>299001</v>
      </c>
      <c r="I354" s="44" t="str">
        <f>IF(H354&lt;=0,"",VLOOKUP(H354,[4]COG!A:H,2,0))</f>
        <v>Refacciones y accesorios menores otros bienes muebles</v>
      </c>
      <c r="J354" s="39">
        <v>0</v>
      </c>
      <c r="K354" s="39">
        <v>0</v>
      </c>
      <c r="L354" s="50"/>
      <c r="M354" s="50"/>
      <c r="N354" s="1">
        <f>Tabla5[[#This Row],[TRIMESTRE  I]]+Tabla5[[#This Row],[TRIMESTRE II]]+Tabla5[[#This Row],[TRIMESTRE III]]+Tabla5[[#This Row],[TRIMESTRE IV]]</f>
        <v>0</v>
      </c>
      <c r="O354" s="39"/>
      <c r="P354" s="39"/>
      <c r="Q354" s="59"/>
    </row>
    <row r="355" spans="2:17" ht="22.5" x14ac:dyDescent="0.2">
      <c r="B355" s="46">
        <v>503050</v>
      </c>
      <c r="C355" s="47" t="s">
        <v>523</v>
      </c>
      <c r="D355" s="48">
        <v>530</v>
      </c>
      <c r="E355" s="43" t="str">
        <f>IF(D355&lt;=0,"",VLOOKUP(D355,[1]FF!A:D,2,0))</f>
        <v>PARTICIPACIONES Ramo 28</v>
      </c>
      <c r="F355" s="37" t="s">
        <v>531</v>
      </c>
      <c r="G355" s="37" t="s">
        <v>461</v>
      </c>
      <c r="H355" s="49">
        <v>211001</v>
      </c>
      <c r="I355" s="44" t="str">
        <f>IF(H355&lt;=0,"",VLOOKUP(H355,[4]COG!A:H,2,0))</f>
        <v>Material de oficina</v>
      </c>
      <c r="J355" s="39">
        <v>489</v>
      </c>
      <c r="K355" s="39">
        <v>489</v>
      </c>
      <c r="L355" s="50"/>
      <c r="M355" s="50"/>
      <c r="N355" s="1">
        <f>Tabla5[[#This Row],[TRIMESTRE  I]]+Tabla5[[#This Row],[TRIMESTRE II]]+Tabla5[[#This Row],[TRIMESTRE III]]+Tabla5[[#This Row],[TRIMESTRE IV]]</f>
        <v>978</v>
      </c>
      <c r="O355" s="39"/>
      <c r="P355" s="39"/>
      <c r="Q355" s="59"/>
    </row>
    <row r="356" spans="2:17" ht="22.5" x14ac:dyDescent="0.2">
      <c r="B356" s="46">
        <v>503050</v>
      </c>
      <c r="C356" s="47" t="s">
        <v>523</v>
      </c>
      <c r="D356" s="48">
        <v>530</v>
      </c>
      <c r="E356" s="43" t="str">
        <f>IF(D356&lt;=0,"",VLOOKUP(D356,[1]FF!A:D,2,0))</f>
        <v>PARTICIPACIONES Ramo 28</v>
      </c>
      <c r="F356" s="37" t="s">
        <v>531</v>
      </c>
      <c r="G356" s="37" t="s">
        <v>461</v>
      </c>
      <c r="H356" s="49">
        <v>212001</v>
      </c>
      <c r="I356" s="44" t="str">
        <f>IF(H356&lt;=0,"",VLOOKUP(H356,[4]COG!A:H,2,0))</f>
        <v>Material y útiles de impresión</v>
      </c>
      <c r="J356" s="39">
        <v>498</v>
      </c>
      <c r="K356" s="39">
        <v>498</v>
      </c>
      <c r="L356" s="50"/>
      <c r="M356" s="50"/>
      <c r="N356" s="1">
        <f>Tabla5[[#This Row],[TRIMESTRE  I]]+Tabla5[[#This Row],[TRIMESTRE II]]+Tabla5[[#This Row],[TRIMESTRE III]]+Tabla5[[#This Row],[TRIMESTRE IV]]</f>
        <v>996</v>
      </c>
      <c r="O356" s="39"/>
      <c r="P356" s="39"/>
      <c r="Q356" s="59"/>
    </row>
    <row r="357" spans="2:17" ht="22.5" x14ac:dyDescent="0.2">
      <c r="B357" s="46">
        <v>503050</v>
      </c>
      <c r="C357" s="47" t="s">
        <v>523</v>
      </c>
      <c r="D357" s="48">
        <v>530</v>
      </c>
      <c r="E357" s="43" t="str">
        <f>IF(D357&lt;=0,"",VLOOKUP(D357,[1]FF!A:D,2,0))</f>
        <v>PARTICIPACIONES Ramo 28</v>
      </c>
      <c r="F357" s="37" t="s">
        <v>531</v>
      </c>
      <c r="G357" s="37" t="s">
        <v>461</v>
      </c>
      <c r="H357" s="49">
        <v>211001</v>
      </c>
      <c r="I357" s="44" t="str">
        <f>IF(H357&lt;=0,"",VLOOKUP(H357,[4]COG!A:H,2,0))</f>
        <v>Material de oficina</v>
      </c>
      <c r="J357" s="39">
        <v>0</v>
      </c>
      <c r="K357" s="39">
        <v>0</v>
      </c>
      <c r="L357" s="50"/>
      <c r="M357" s="50"/>
      <c r="N357" s="1">
        <f>Tabla5[[#This Row],[TRIMESTRE  I]]+Tabla5[[#This Row],[TRIMESTRE II]]+Tabla5[[#This Row],[TRIMESTRE III]]+Tabla5[[#This Row],[TRIMESTRE IV]]</f>
        <v>0</v>
      </c>
      <c r="O357" s="39"/>
      <c r="P357" s="39"/>
      <c r="Q357" s="59"/>
    </row>
    <row r="358" spans="2:17" ht="27" x14ac:dyDescent="0.2">
      <c r="B358" s="46">
        <v>503050</v>
      </c>
      <c r="C358" s="47" t="s">
        <v>523</v>
      </c>
      <c r="D358" s="48">
        <v>530</v>
      </c>
      <c r="E358" s="43" t="str">
        <f>IF(D358&lt;=0,"",VLOOKUP(D358,[1]FF!A:D,2,0))</f>
        <v>PARTICIPACIONES Ramo 28</v>
      </c>
      <c r="F358" s="37" t="s">
        <v>531</v>
      </c>
      <c r="G358" s="37" t="s">
        <v>461</v>
      </c>
      <c r="H358" s="49">
        <v>292001</v>
      </c>
      <c r="I358" s="44" t="str">
        <f>IF(H358&lt;=0,"",VLOOKUP(H358,[4]COG!A:H,2,0))</f>
        <v>Refacciones y accesorios menores de edificios (candados, cerraduras, chapas, llaves)</v>
      </c>
      <c r="J358" s="39">
        <v>0</v>
      </c>
      <c r="K358" s="39">
        <v>0</v>
      </c>
      <c r="L358" s="50"/>
      <c r="M358" s="50"/>
      <c r="N358" s="1">
        <f>Tabla5[[#This Row],[TRIMESTRE  I]]+Tabla5[[#This Row],[TRIMESTRE II]]+Tabla5[[#This Row],[TRIMESTRE III]]+Tabla5[[#This Row],[TRIMESTRE IV]]</f>
        <v>0</v>
      </c>
      <c r="O358" s="39"/>
      <c r="P358" s="39"/>
      <c r="Q358" s="59"/>
    </row>
    <row r="359" spans="2:17" ht="22.5" x14ac:dyDescent="0.2">
      <c r="B359" s="46">
        <v>503051</v>
      </c>
      <c r="C359" s="47" t="s">
        <v>523</v>
      </c>
      <c r="D359" s="48">
        <v>530</v>
      </c>
      <c r="E359" s="43" t="str">
        <f>IF(D359&lt;=0,"",VLOOKUP(D359,[1]FF!A:D,2,0))</f>
        <v>PARTICIPACIONES Ramo 28</v>
      </c>
      <c r="F359" s="37" t="s">
        <v>532</v>
      </c>
      <c r="G359" s="37" t="s">
        <v>461</v>
      </c>
      <c r="H359" s="49">
        <v>211001</v>
      </c>
      <c r="I359" s="44" t="str">
        <f>IF(H359&lt;=0,"",VLOOKUP(H359,[4]COG!A:H,2,0))</f>
        <v>Material de oficina</v>
      </c>
      <c r="J359" s="39">
        <v>14532</v>
      </c>
      <c r="K359" s="39">
        <v>14532</v>
      </c>
      <c r="L359" s="50"/>
      <c r="M359" s="50"/>
      <c r="N359" s="1">
        <f>Tabla5[[#This Row],[TRIMESTRE  I]]+Tabla5[[#This Row],[TRIMESTRE II]]+Tabla5[[#This Row],[TRIMESTRE III]]+Tabla5[[#This Row],[TRIMESTRE IV]]</f>
        <v>29064</v>
      </c>
      <c r="O359" s="39"/>
      <c r="P359" s="39"/>
      <c r="Q359" s="59"/>
    </row>
    <row r="360" spans="2:17" ht="22.5" x14ac:dyDescent="0.2">
      <c r="B360" s="46">
        <v>503051</v>
      </c>
      <c r="C360" s="47" t="s">
        <v>523</v>
      </c>
      <c r="D360" s="48">
        <v>530</v>
      </c>
      <c r="E360" s="43" t="str">
        <f>IF(D360&lt;=0,"",VLOOKUP(D360,[1]FF!A:D,2,0))</f>
        <v>PARTICIPACIONES Ramo 28</v>
      </c>
      <c r="F360" s="37" t="s">
        <v>532</v>
      </c>
      <c r="G360" s="37" t="s">
        <v>461</v>
      </c>
      <c r="H360" s="49">
        <v>212001</v>
      </c>
      <c r="I360" s="44" t="str">
        <f>IF(H360&lt;=0,"",VLOOKUP(H360,[4]COG!A:H,2,0))</f>
        <v>Material y útiles de impresión</v>
      </c>
      <c r="J360" s="39">
        <v>3984</v>
      </c>
      <c r="K360" s="39">
        <v>3984</v>
      </c>
      <c r="L360" s="50"/>
      <c r="M360" s="50"/>
      <c r="N360" s="1">
        <f>Tabla5[[#This Row],[TRIMESTRE  I]]+Tabla5[[#This Row],[TRIMESTRE II]]+Tabla5[[#This Row],[TRIMESTRE III]]+Tabla5[[#This Row],[TRIMESTRE IV]]</f>
        <v>7968</v>
      </c>
      <c r="O360" s="39"/>
      <c r="P360" s="39"/>
      <c r="Q360" s="59"/>
    </row>
    <row r="361" spans="2:17" ht="22.5" x14ac:dyDescent="0.2">
      <c r="B361" s="46">
        <v>503051</v>
      </c>
      <c r="C361" s="47" t="s">
        <v>523</v>
      </c>
      <c r="D361" s="48">
        <v>530</v>
      </c>
      <c r="E361" s="43" t="str">
        <f>IF(D361&lt;=0,"",VLOOKUP(D361,[1]FF!A:D,2,0))</f>
        <v>PARTICIPACIONES Ramo 28</v>
      </c>
      <c r="F361" s="37" t="s">
        <v>532</v>
      </c>
      <c r="G361" s="37" t="s">
        <v>461</v>
      </c>
      <c r="H361" s="49">
        <v>216001</v>
      </c>
      <c r="I361" s="44" t="str">
        <f>IF(H361&lt;=0,"",VLOOKUP(H361,[4]COG!A:H,2,0))</f>
        <v>Material de limpieza</v>
      </c>
      <c r="J361" s="39">
        <v>591</v>
      </c>
      <c r="K361" s="39">
        <v>591</v>
      </c>
      <c r="L361" s="50"/>
      <c r="M361" s="50"/>
      <c r="N361" s="1">
        <f>Tabla5[[#This Row],[TRIMESTRE  I]]+Tabla5[[#This Row],[TRIMESTRE II]]+Tabla5[[#This Row],[TRIMESTRE III]]+Tabla5[[#This Row],[TRIMESTRE IV]]</f>
        <v>1182</v>
      </c>
      <c r="O361" s="39"/>
      <c r="P361" s="39"/>
      <c r="Q361" s="59"/>
    </row>
    <row r="362" spans="2:17" ht="22.5" x14ac:dyDescent="0.2">
      <c r="B362" s="46">
        <v>503051</v>
      </c>
      <c r="C362" s="47" t="s">
        <v>523</v>
      </c>
      <c r="D362" s="48">
        <v>530</v>
      </c>
      <c r="E362" s="43" t="str">
        <f>IF(D362&lt;=0,"",VLOOKUP(D362,[1]FF!A:D,2,0))</f>
        <v>PARTICIPACIONES Ramo 28</v>
      </c>
      <c r="F362" s="37" t="s">
        <v>532</v>
      </c>
      <c r="G362" s="37" t="s">
        <v>461</v>
      </c>
      <c r="H362" s="49">
        <v>221001</v>
      </c>
      <c r="I362" s="44" t="str">
        <f>IF(H362&lt;=0,"",VLOOKUP(H362,[4]COG!A:H,2,0))</f>
        <v>Alimentación de personas</v>
      </c>
      <c r="J362" s="39"/>
      <c r="K362" s="39">
        <v>0</v>
      </c>
      <c r="L362" s="50"/>
      <c r="M362" s="50"/>
      <c r="N362" s="1">
        <f>Tabla5[[#This Row],[TRIMESTRE  I]]+Tabla5[[#This Row],[TRIMESTRE II]]+Tabla5[[#This Row],[TRIMESTRE III]]+Tabla5[[#This Row],[TRIMESTRE IV]]</f>
        <v>0</v>
      </c>
      <c r="O362" s="39"/>
      <c r="P362" s="39"/>
      <c r="Q362" s="59"/>
    </row>
    <row r="363" spans="2:17" ht="22.5" x14ac:dyDescent="0.2">
      <c r="B363" s="46">
        <v>503051</v>
      </c>
      <c r="C363" s="47" t="s">
        <v>523</v>
      </c>
      <c r="D363" s="48">
        <v>530</v>
      </c>
      <c r="E363" s="43" t="str">
        <f>IF(D363&lt;=0,"",VLOOKUP(D363,[1]FF!A:D,2,0))</f>
        <v>PARTICIPACIONES Ramo 28</v>
      </c>
      <c r="F363" s="37" t="s">
        <v>532</v>
      </c>
      <c r="G363" s="37" t="s">
        <v>461</v>
      </c>
      <c r="H363" s="49">
        <v>246001</v>
      </c>
      <c r="I363" s="44" t="str">
        <f>IF(H363&lt;=0,"",VLOOKUP(H363,[4]COG!A:H,2,0))</f>
        <v>Material eléctrico</v>
      </c>
      <c r="J363" s="39">
        <v>372</v>
      </c>
      <c r="K363" s="39">
        <v>372</v>
      </c>
      <c r="L363" s="50"/>
      <c r="M363" s="50"/>
      <c r="N363" s="1">
        <f>Tabla5[[#This Row],[TRIMESTRE  I]]+Tabla5[[#This Row],[TRIMESTRE II]]+Tabla5[[#This Row],[TRIMESTRE III]]+Tabla5[[#This Row],[TRIMESTRE IV]]</f>
        <v>744</v>
      </c>
      <c r="O363" s="39"/>
      <c r="P363" s="39"/>
      <c r="Q363" s="59"/>
    </row>
    <row r="364" spans="2:17" ht="22.5" x14ac:dyDescent="0.2">
      <c r="B364" s="46">
        <v>503051</v>
      </c>
      <c r="C364" s="47" t="s">
        <v>523</v>
      </c>
      <c r="D364" s="48">
        <v>530</v>
      </c>
      <c r="E364" s="43" t="str">
        <f>IF(D364&lt;=0,"",VLOOKUP(D364,[1]FF!A:D,2,0))</f>
        <v>PARTICIPACIONES Ramo 28</v>
      </c>
      <c r="F364" s="37" t="s">
        <v>532</v>
      </c>
      <c r="G364" s="37" t="s">
        <v>461</v>
      </c>
      <c r="H364" s="49">
        <v>249001</v>
      </c>
      <c r="I364" s="44" t="str">
        <f>IF(H364&lt;=0,"",VLOOKUP(H364,[4]COG!A:H,2,0))</f>
        <v>Materiales de construcción y complementarios</v>
      </c>
      <c r="J364" s="39">
        <v>399</v>
      </c>
      <c r="K364" s="39">
        <v>399</v>
      </c>
      <c r="L364" s="50"/>
      <c r="M364" s="50"/>
      <c r="N364" s="1">
        <f>Tabla5[[#This Row],[TRIMESTRE  I]]+Tabla5[[#This Row],[TRIMESTRE II]]+Tabla5[[#This Row],[TRIMESTRE III]]+Tabla5[[#This Row],[TRIMESTRE IV]]</f>
        <v>798</v>
      </c>
      <c r="O364" s="39"/>
      <c r="P364" s="39"/>
      <c r="Q364" s="59"/>
    </row>
    <row r="365" spans="2:17" ht="22.5" x14ac:dyDescent="0.2">
      <c r="B365" s="46">
        <v>503051</v>
      </c>
      <c r="C365" s="47" t="s">
        <v>523</v>
      </c>
      <c r="D365" s="48">
        <v>530</v>
      </c>
      <c r="E365" s="43" t="str">
        <f>IF(D365&lt;=0,"",VLOOKUP(D365,[1]FF!A:D,2,0))</f>
        <v>PARTICIPACIONES Ramo 28</v>
      </c>
      <c r="F365" s="37" t="s">
        <v>532</v>
      </c>
      <c r="G365" s="37" t="s">
        <v>461</v>
      </c>
      <c r="H365" s="49">
        <v>261001</v>
      </c>
      <c r="I365" s="44" t="str">
        <f>IF(H365&lt;=0,"",VLOOKUP(H365,[4]COG!A:H,2,0))</f>
        <v>Combustibles</v>
      </c>
      <c r="J365" s="39">
        <v>23079</v>
      </c>
      <c r="K365" s="39">
        <v>23079</v>
      </c>
      <c r="L365" s="50"/>
      <c r="M365" s="50"/>
      <c r="N365" s="1">
        <f>Tabla5[[#This Row],[TRIMESTRE  I]]+Tabla5[[#This Row],[TRIMESTRE II]]+Tabla5[[#This Row],[TRIMESTRE III]]+Tabla5[[#This Row],[TRIMESTRE IV]]</f>
        <v>46158</v>
      </c>
      <c r="O365" s="39"/>
      <c r="P365" s="39"/>
      <c r="Q365" s="59"/>
    </row>
    <row r="366" spans="2:17" ht="22.5" x14ac:dyDescent="0.2">
      <c r="B366" s="46">
        <v>503051</v>
      </c>
      <c r="C366" s="47" t="s">
        <v>523</v>
      </c>
      <c r="D366" s="48">
        <v>530</v>
      </c>
      <c r="E366" s="43" t="str">
        <f>IF(D366&lt;=0,"",VLOOKUP(D366,[1]FF!A:D,2,0))</f>
        <v>PARTICIPACIONES Ramo 28</v>
      </c>
      <c r="F366" s="37" t="s">
        <v>532</v>
      </c>
      <c r="G366" s="37" t="s">
        <v>461</v>
      </c>
      <c r="H366" s="49">
        <v>271001</v>
      </c>
      <c r="I366" s="44" t="str">
        <f>IF(H366&lt;=0,"",VLOOKUP(H366,[4]COG!A:H,2,0))</f>
        <v>Ropa, vestuario y equipo</v>
      </c>
      <c r="J366" s="39">
        <v>828</v>
      </c>
      <c r="K366" s="39">
        <v>828</v>
      </c>
      <c r="L366" s="50"/>
      <c r="M366" s="50"/>
      <c r="N366" s="1">
        <f>Tabla5[[#This Row],[TRIMESTRE  I]]+Tabla5[[#This Row],[TRIMESTRE II]]+Tabla5[[#This Row],[TRIMESTRE III]]+Tabla5[[#This Row],[TRIMESTRE IV]]</f>
        <v>1656</v>
      </c>
      <c r="O366" s="39"/>
      <c r="P366" s="39"/>
      <c r="Q366" s="59"/>
    </row>
    <row r="367" spans="2:17" ht="22.5" x14ac:dyDescent="0.2">
      <c r="B367" s="46">
        <v>503051</v>
      </c>
      <c r="C367" s="47" t="s">
        <v>523</v>
      </c>
      <c r="D367" s="48">
        <v>530</v>
      </c>
      <c r="E367" s="43" t="str">
        <f>IF(D367&lt;=0,"",VLOOKUP(D367,[1]FF!A:D,2,0))</f>
        <v>PARTICIPACIONES Ramo 28</v>
      </c>
      <c r="F367" s="37" t="s">
        <v>532</v>
      </c>
      <c r="G367" s="37" t="s">
        <v>461</v>
      </c>
      <c r="H367" s="49">
        <v>273001</v>
      </c>
      <c r="I367" s="44" t="str">
        <f>IF(H367&lt;=0,"",VLOOKUP(H367,[4]COG!A:H,2,0))</f>
        <v>Artículos deportivos</v>
      </c>
      <c r="J367" s="39">
        <v>789</v>
      </c>
      <c r="K367" s="39">
        <v>789</v>
      </c>
      <c r="L367" s="50"/>
      <c r="M367" s="50"/>
      <c r="N367" s="1">
        <f>Tabla5[[#This Row],[TRIMESTRE  I]]+Tabla5[[#This Row],[TRIMESTRE II]]+Tabla5[[#This Row],[TRIMESTRE III]]+Tabla5[[#This Row],[TRIMESTRE IV]]</f>
        <v>1578</v>
      </c>
      <c r="O367" s="39"/>
      <c r="P367" s="39"/>
      <c r="Q367" s="59"/>
    </row>
    <row r="368" spans="2:17" ht="22.5" x14ac:dyDescent="0.2">
      <c r="B368" s="46">
        <v>503051</v>
      </c>
      <c r="C368" s="47" t="s">
        <v>523</v>
      </c>
      <c r="D368" s="48">
        <v>530</v>
      </c>
      <c r="E368" s="43" t="str">
        <f>IF(D368&lt;=0,"",VLOOKUP(D368,[1]FF!A:D,2,0))</f>
        <v>PARTICIPACIONES Ramo 28</v>
      </c>
      <c r="F368" s="37" t="s">
        <v>532</v>
      </c>
      <c r="G368" s="37" t="s">
        <v>461</v>
      </c>
      <c r="H368" s="49">
        <v>296001</v>
      </c>
      <c r="I368" s="44" t="str">
        <f>IF(H368&lt;=0,"",VLOOKUP(H368,[4]COG!A:H,2,0))</f>
        <v>Herramientas, refacciones y accesorios</v>
      </c>
      <c r="J368" s="39">
        <v>2541</v>
      </c>
      <c r="K368" s="39">
        <v>2541</v>
      </c>
      <c r="L368" s="50"/>
      <c r="M368" s="50"/>
      <c r="N368" s="1">
        <f>Tabla5[[#This Row],[TRIMESTRE  I]]+Tabla5[[#This Row],[TRIMESTRE II]]+Tabla5[[#This Row],[TRIMESTRE III]]+Tabla5[[#This Row],[TRIMESTRE IV]]</f>
        <v>5082</v>
      </c>
      <c r="O368" s="39"/>
      <c r="P368" s="39"/>
      <c r="Q368" s="59"/>
    </row>
    <row r="369" spans="2:17" ht="22.5" x14ac:dyDescent="0.2">
      <c r="B369" s="46">
        <v>503051</v>
      </c>
      <c r="C369" s="47" t="s">
        <v>523</v>
      </c>
      <c r="D369" s="48">
        <v>530</v>
      </c>
      <c r="E369" s="43" t="str">
        <f>IF(D369&lt;=0,"",VLOOKUP(D369,[1]FF!A:D,2,0))</f>
        <v>PARTICIPACIONES Ramo 28</v>
      </c>
      <c r="F369" s="37" t="s">
        <v>532</v>
      </c>
      <c r="G369" s="37" t="s">
        <v>461</v>
      </c>
      <c r="H369" s="49">
        <v>299001</v>
      </c>
      <c r="I369" s="44" t="str">
        <f>IF(H369&lt;=0,"",VLOOKUP(H369,[4]COG!A:H,2,0))</f>
        <v>Refacciones y accesorios menores otros bienes muebles</v>
      </c>
      <c r="J369" s="39">
        <v>0</v>
      </c>
      <c r="K369" s="39">
        <v>0</v>
      </c>
      <c r="L369" s="50"/>
      <c r="M369" s="50"/>
      <c r="N369" s="1">
        <f>Tabla5[[#This Row],[TRIMESTRE  I]]+Tabla5[[#This Row],[TRIMESTRE II]]+Tabla5[[#This Row],[TRIMESTRE III]]+Tabla5[[#This Row],[TRIMESTRE IV]]</f>
        <v>0</v>
      </c>
      <c r="O369" s="39"/>
      <c r="P369" s="39"/>
      <c r="Q369" s="59"/>
    </row>
    <row r="370" spans="2:17" ht="33.75" x14ac:dyDescent="0.2">
      <c r="B370" s="46">
        <v>503052</v>
      </c>
      <c r="C370" s="47" t="s">
        <v>523</v>
      </c>
      <c r="D370" s="48">
        <v>530</v>
      </c>
      <c r="E370" s="43" t="str">
        <f>IF(D370&lt;=0,"",VLOOKUP(D370,[1]FF!A:D,2,0))</f>
        <v>PARTICIPACIONES Ramo 28</v>
      </c>
      <c r="F370" s="37" t="s">
        <v>533</v>
      </c>
      <c r="G370" s="37" t="s">
        <v>461</v>
      </c>
      <c r="H370" s="49">
        <v>218002</v>
      </c>
      <c r="I370" s="44" t="str">
        <f>IF(H370&lt;=0,"",VLOOKUP(H370,[4]COG!A:H,2,0))</f>
        <v>Placas, Engomados, Calcomanías y Hologramas</v>
      </c>
      <c r="J370" s="39">
        <v>0</v>
      </c>
      <c r="K370" s="39">
        <v>0</v>
      </c>
      <c r="L370" s="50"/>
      <c r="M370" s="50"/>
      <c r="N370" s="1">
        <f>Tabla5[[#This Row],[TRIMESTRE  I]]+Tabla5[[#This Row],[TRIMESTRE II]]+Tabla5[[#This Row],[TRIMESTRE III]]+Tabla5[[#This Row],[TRIMESTRE IV]]</f>
        <v>0</v>
      </c>
      <c r="O370" s="39"/>
      <c r="P370" s="39"/>
      <c r="Q370" s="59"/>
    </row>
    <row r="371" spans="2:17" ht="33.75" x14ac:dyDescent="0.2">
      <c r="B371" s="46">
        <v>503052</v>
      </c>
      <c r="C371" s="47" t="s">
        <v>523</v>
      </c>
      <c r="D371" s="48">
        <v>530</v>
      </c>
      <c r="E371" s="43" t="str">
        <f>IF(D371&lt;=0,"",VLOOKUP(D371,[1]FF!A:D,2,0))</f>
        <v>PARTICIPACIONES Ramo 28</v>
      </c>
      <c r="F371" s="37" t="s">
        <v>533</v>
      </c>
      <c r="G371" s="37" t="s">
        <v>461</v>
      </c>
      <c r="H371" s="49">
        <v>218003</v>
      </c>
      <c r="I371" s="44" t="str">
        <f>IF(H371&lt;=0,"",VLOOKUP(H371,[4]COG!A:H,2,0))</f>
        <v>Emisión de Licencias de Conducir</v>
      </c>
      <c r="J371" s="39">
        <v>439998</v>
      </c>
      <c r="K371" s="39">
        <v>439998</v>
      </c>
      <c r="L371" s="50"/>
      <c r="M371" s="50"/>
      <c r="N371" s="1">
        <f>Tabla5[[#This Row],[TRIMESTRE  I]]+Tabla5[[#This Row],[TRIMESTRE II]]+Tabla5[[#This Row],[TRIMESTRE III]]+Tabla5[[#This Row],[TRIMESTRE IV]]</f>
        <v>879996</v>
      </c>
      <c r="O371" s="39"/>
      <c r="P371" s="39"/>
      <c r="Q371" s="59"/>
    </row>
    <row r="372" spans="2:17" ht="33.75" x14ac:dyDescent="0.2">
      <c r="B372" s="46">
        <v>503052</v>
      </c>
      <c r="C372" s="47" t="s">
        <v>523</v>
      </c>
      <c r="D372" s="48">
        <v>530</v>
      </c>
      <c r="E372" s="43" t="str">
        <f>IF(D372&lt;=0,"",VLOOKUP(D372,[1]FF!A:D,2,0))</f>
        <v>PARTICIPACIONES Ramo 28</v>
      </c>
      <c r="F372" s="37" t="s">
        <v>533</v>
      </c>
      <c r="G372" s="37" t="s">
        <v>461</v>
      </c>
      <c r="H372" s="49">
        <v>218004</v>
      </c>
      <c r="I372" s="44" t="str">
        <f>IF(H372&lt;=0,"",VLOOKUP(H372,[4]COG!A:H,2,0))</f>
        <v>Emisión de Formatos Únicos de Control Vehicular</v>
      </c>
      <c r="J372" s="39">
        <v>0</v>
      </c>
      <c r="K372" s="39">
        <v>0</v>
      </c>
      <c r="L372" s="50"/>
      <c r="M372" s="50"/>
      <c r="N372" s="1">
        <f>Tabla5[[#This Row],[TRIMESTRE  I]]+Tabla5[[#This Row],[TRIMESTRE II]]+Tabla5[[#This Row],[TRIMESTRE III]]+Tabla5[[#This Row],[TRIMESTRE IV]]</f>
        <v>0</v>
      </c>
      <c r="O372" s="39"/>
      <c r="P372" s="39"/>
      <c r="Q372" s="59"/>
    </row>
    <row r="373" spans="2:17" ht="33.75" x14ac:dyDescent="0.2">
      <c r="B373" s="46">
        <v>503053</v>
      </c>
      <c r="C373" s="47" t="s">
        <v>523</v>
      </c>
      <c r="D373" s="48">
        <v>530</v>
      </c>
      <c r="E373" s="43" t="str">
        <f>IF(D373&lt;=0,"",VLOOKUP(D373,[1]FF!A:D,2,0))</f>
        <v>PARTICIPACIONES Ramo 28</v>
      </c>
      <c r="F373" s="37" t="s">
        <v>534</v>
      </c>
      <c r="G373" s="37" t="s">
        <v>461</v>
      </c>
      <c r="H373" s="49">
        <v>218002</v>
      </c>
      <c r="I373" s="44" t="str">
        <f>IF(H373&lt;=0,"",VLOOKUP(H373,[4]COG!A:H,2,0))</f>
        <v>Placas, Engomados, Calcomanías y Hologramas</v>
      </c>
      <c r="J373" s="39">
        <v>0</v>
      </c>
      <c r="K373" s="39">
        <v>0</v>
      </c>
      <c r="L373" s="50"/>
      <c r="M373" s="50"/>
      <c r="N373" s="1">
        <f>Tabla5[[#This Row],[TRIMESTRE  I]]+Tabla5[[#This Row],[TRIMESTRE II]]+Tabla5[[#This Row],[TRIMESTRE III]]+Tabla5[[#This Row],[TRIMESTRE IV]]</f>
        <v>0</v>
      </c>
      <c r="O373" s="39"/>
      <c r="P373" s="39"/>
      <c r="Q373" s="59"/>
    </row>
    <row r="374" spans="2:17" ht="33.75" x14ac:dyDescent="0.2">
      <c r="B374" s="46">
        <v>503053</v>
      </c>
      <c r="C374" s="47" t="s">
        <v>523</v>
      </c>
      <c r="D374" s="48">
        <v>530</v>
      </c>
      <c r="E374" s="43" t="str">
        <f>IF(D374&lt;=0,"",VLOOKUP(D374,[1]FF!A:D,2,0))</f>
        <v>PARTICIPACIONES Ramo 28</v>
      </c>
      <c r="F374" s="37" t="s">
        <v>534</v>
      </c>
      <c r="G374" s="37" t="s">
        <v>461</v>
      </c>
      <c r="H374" s="49">
        <v>218003</v>
      </c>
      <c r="I374" s="44" t="str">
        <f>IF(H374&lt;=0,"",VLOOKUP(H374,[4]COG!A:H,2,0))</f>
        <v>Emisión de Licencias de Conducir</v>
      </c>
      <c r="J374" s="39">
        <v>155310</v>
      </c>
      <c r="K374" s="39">
        <v>374062</v>
      </c>
      <c r="L374" s="50"/>
      <c r="M374" s="50"/>
      <c r="N374" s="1">
        <f>Tabla5[[#This Row],[TRIMESTRE  I]]+Tabla5[[#This Row],[TRIMESTRE II]]+Tabla5[[#This Row],[TRIMESTRE III]]+Tabla5[[#This Row],[TRIMESTRE IV]]</f>
        <v>529372</v>
      </c>
      <c r="O374" s="39"/>
      <c r="P374" s="39"/>
      <c r="Q374" s="59"/>
    </row>
    <row r="375" spans="2:17" ht="33.75" x14ac:dyDescent="0.2">
      <c r="B375" s="46">
        <v>503053</v>
      </c>
      <c r="C375" s="47" t="s">
        <v>523</v>
      </c>
      <c r="D375" s="48">
        <v>530</v>
      </c>
      <c r="E375" s="43" t="str">
        <f>IF(D375&lt;=0,"",VLOOKUP(D375,[1]FF!A:D,2,0))</f>
        <v>PARTICIPACIONES Ramo 28</v>
      </c>
      <c r="F375" s="37" t="s">
        <v>534</v>
      </c>
      <c r="G375" s="37" t="s">
        <v>461</v>
      </c>
      <c r="H375" s="49">
        <v>218004</v>
      </c>
      <c r="I375" s="44" t="str">
        <f>IF(H375&lt;=0,"",VLOOKUP(H375,[4]COG!A:H,2,0))</f>
        <v>Emisión de Formatos Únicos de Control Vehicular</v>
      </c>
      <c r="J375" s="39">
        <v>0</v>
      </c>
      <c r="K375" s="39">
        <v>0</v>
      </c>
      <c r="L375" s="50"/>
      <c r="M375" s="50"/>
      <c r="N375" s="1">
        <f>Tabla5[[#This Row],[TRIMESTRE  I]]+Tabla5[[#This Row],[TRIMESTRE II]]+Tabla5[[#This Row],[TRIMESTRE III]]+Tabla5[[#This Row],[TRIMESTRE IV]]</f>
        <v>0</v>
      </c>
      <c r="O375" s="39"/>
      <c r="P375" s="39"/>
      <c r="Q375" s="59"/>
    </row>
    <row r="376" spans="2:17" ht="33.75" x14ac:dyDescent="0.2">
      <c r="B376" s="46">
        <v>503054</v>
      </c>
      <c r="C376" s="47" t="s">
        <v>523</v>
      </c>
      <c r="D376" s="48">
        <v>530</v>
      </c>
      <c r="E376" s="43" t="str">
        <f>IF(D376&lt;=0,"",VLOOKUP(D376,[1]FF!A:D,2,0))</f>
        <v>PARTICIPACIONES Ramo 28</v>
      </c>
      <c r="F376" s="37" t="s">
        <v>535</v>
      </c>
      <c r="G376" s="37" t="s">
        <v>461</v>
      </c>
      <c r="H376" s="49">
        <v>218002</v>
      </c>
      <c r="I376" s="44" t="str">
        <f>IF(H376&lt;=0,"",VLOOKUP(H376,[4]COG!A:H,2,0))</f>
        <v>Placas, Engomados, Calcomanías y Hologramas</v>
      </c>
      <c r="J376" s="39">
        <v>0</v>
      </c>
      <c r="K376" s="39">
        <v>0</v>
      </c>
      <c r="L376" s="50"/>
      <c r="M376" s="50"/>
      <c r="N376" s="1">
        <f>Tabla5[[#This Row],[TRIMESTRE  I]]+Tabla5[[#This Row],[TRIMESTRE II]]+Tabla5[[#This Row],[TRIMESTRE III]]+Tabla5[[#This Row],[TRIMESTRE IV]]</f>
        <v>0</v>
      </c>
      <c r="O376" s="39"/>
      <c r="P376" s="39"/>
      <c r="Q376" s="59"/>
    </row>
    <row r="377" spans="2:17" ht="33.75" x14ac:dyDescent="0.2">
      <c r="B377" s="46">
        <v>503054</v>
      </c>
      <c r="C377" s="47" t="s">
        <v>523</v>
      </c>
      <c r="D377" s="48">
        <v>530</v>
      </c>
      <c r="E377" s="43" t="str">
        <f>IF(D377&lt;=0,"",VLOOKUP(D377,[1]FF!A:D,2,0))</f>
        <v>PARTICIPACIONES Ramo 28</v>
      </c>
      <c r="F377" s="37" t="s">
        <v>535</v>
      </c>
      <c r="G377" s="37" t="s">
        <v>461</v>
      </c>
      <c r="H377" s="49">
        <v>218003</v>
      </c>
      <c r="I377" s="44" t="str">
        <f>IF(H377&lt;=0,"",VLOOKUP(H377,[4]COG!A:H,2,0))</f>
        <v>Emisión de Licencias de Conducir</v>
      </c>
      <c r="J377" s="39">
        <v>222720</v>
      </c>
      <c r="K377" s="39">
        <v>436830</v>
      </c>
      <c r="L377" s="50"/>
      <c r="M377" s="50"/>
      <c r="N377" s="1">
        <f>Tabla5[[#This Row],[TRIMESTRE  I]]+Tabla5[[#This Row],[TRIMESTRE II]]+Tabla5[[#This Row],[TRIMESTRE III]]+Tabla5[[#This Row],[TRIMESTRE IV]]</f>
        <v>659550</v>
      </c>
      <c r="O377" s="39"/>
      <c r="P377" s="39"/>
      <c r="Q377" s="59"/>
    </row>
    <row r="378" spans="2:17" ht="33.75" x14ac:dyDescent="0.2">
      <c r="B378" s="46">
        <v>503054</v>
      </c>
      <c r="C378" s="47" t="s">
        <v>523</v>
      </c>
      <c r="D378" s="48">
        <v>530</v>
      </c>
      <c r="E378" s="43" t="str">
        <f>IF(D378&lt;=0,"",VLOOKUP(D378,[1]FF!A:D,2,0))</f>
        <v>PARTICIPACIONES Ramo 28</v>
      </c>
      <c r="F378" s="37" t="s">
        <v>535</v>
      </c>
      <c r="G378" s="37" t="s">
        <v>461</v>
      </c>
      <c r="H378" s="49">
        <v>218004</v>
      </c>
      <c r="I378" s="44" t="str">
        <f>IF(H378&lt;=0,"",VLOOKUP(H378,[4]COG!A:H,2,0))</f>
        <v>Emisión de Formatos Únicos de Control Vehicular</v>
      </c>
      <c r="J378" s="39">
        <v>0</v>
      </c>
      <c r="K378" s="39">
        <v>0</v>
      </c>
      <c r="L378" s="50"/>
      <c r="M378" s="50"/>
      <c r="N378" s="1">
        <f>Tabla5[[#This Row],[TRIMESTRE  I]]+Tabla5[[#This Row],[TRIMESTRE II]]+Tabla5[[#This Row],[TRIMESTRE III]]+Tabla5[[#This Row],[TRIMESTRE IV]]</f>
        <v>0</v>
      </c>
      <c r="O378" s="39"/>
      <c r="P378" s="39"/>
      <c r="Q378" s="59"/>
    </row>
    <row r="379" spans="2:17" ht="33.75" x14ac:dyDescent="0.2">
      <c r="B379" s="46">
        <v>503055</v>
      </c>
      <c r="C379" s="47" t="s">
        <v>523</v>
      </c>
      <c r="D379" s="48">
        <v>530</v>
      </c>
      <c r="E379" s="43" t="str">
        <f>IF(D379&lt;=0,"",VLOOKUP(D379,[1]FF!A:D,2,0))</f>
        <v>PARTICIPACIONES Ramo 28</v>
      </c>
      <c r="F379" s="37" t="s">
        <v>536</v>
      </c>
      <c r="G379" s="37" t="s">
        <v>461</v>
      </c>
      <c r="H379" s="49">
        <v>218002</v>
      </c>
      <c r="I379" s="44" t="str">
        <f>IF(H379&lt;=0,"",VLOOKUP(H379,[4]COG!A:H,2,0))</f>
        <v>Placas, Engomados, Calcomanías y Hologramas</v>
      </c>
      <c r="J379" s="39">
        <v>0</v>
      </c>
      <c r="K379" s="39">
        <v>0</v>
      </c>
      <c r="L379" s="50"/>
      <c r="M379" s="50"/>
      <c r="N379" s="1">
        <f>Tabla5[[#This Row],[TRIMESTRE  I]]+Tabla5[[#This Row],[TRIMESTRE II]]+Tabla5[[#This Row],[TRIMESTRE III]]+Tabla5[[#This Row],[TRIMESTRE IV]]</f>
        <v>0</v>
      </c>
      <c r="O379" s="39"/>
      <c r="P379" s="39"/>
      <c r="Q379" s="59"/>
    </row>
    <row r="380" spans="2:17" ht="33.75" x14ac:dyDescent="0.2">
      <c r="B380" s="46">
        <v>503055</v>
      </c>
      <c r="C380" s="47" t="s">
        <v>523</v>
      </c>
      <c r="D380" s="48">
        <v>530</v>
      </c>
      <c r="E380" s="43" t="str">
        <f>IF(D380&lt;=0,"",VLOOKUP(D380,[1]FF!A:D,2,0))</f>
        <v>PARTICIPACIONES Ramo 28</v>
      </c>
      <c r="F380" s="37" t="s">
        <v>536</v>
      </c>
      <c r="G380" s="37" t="s">
        <v>461</v>
      </c>
      <c r="H380" s="49">
        <v>218003</v>
      </c>
      <c r="I380" s="44" t="str">
        <f>IF(H380&lt;=0,"",VLOOKUP(H380,[4]COG!A:H,2,0))</f>
        <v>Emisión de Licencias de Conducir</v>
      </c>
      <c r="J380" s="39">
        <v>2812398</v>
      </c>
      <c r="K380" s="39">
        <v>2812398</v>
      </c>
      <c r="L380" s="50"/>
      <c r="M380" s="50"/>
      <c r="N380" s="1">
        <f>Tabla5[[#This Row],[TRIMESTRE  I]]+Tabla5[[#This Row],[TRIMESTRE II]]+Tabla5[[#This Row],[TRIMESTRE III]]+Tabla5[[#This Row],[TRIMESTRE IV]]</f>
        <v>5624796</v>
      </c>
      <c r="O380" s="39"/>
      <c r="P380" s="39"/>
      <c r="Q380" s="59"/>
    </row>
    <row r="381" spans="2:17" ht="33.75" x14ac:dyDescent="0.2">
      <c r="B381" s="46">
        <v>503055</v>
      </c>
      <c r="C381" s="47" t="s">
        <v>523</v>
      </c>
      <c r="D381" s="48">
        <v>530</v>
      </c>
      <c r="E381" s="43" t="str">
        <f>IF(D381&lt;=0,"",VLOOKUP(D381,[1]FF!A:D,2,0))</f>
        <v>PARTICIPACIONES Ramo 28</v>
      </c>
      <c r="F381" s="37" t="s">
        <v>536</v>
      </c>
      <c r="G381" s="37" t="s">
        <v>461</v>
      </c>
      <c r="H381" s="49">
        <v>218004</v>
      </c>
      <c r="I381" s="44" t="str">
        <f>IF(H381&lt;=0,"",VLOOKUP(H381,[4]COG!A:H,2,0))</f>
        <v>Emisión de Formatos Únicos de Control Vehicular</v>
      </c>
      <c r="J381" s="39">
        <v>0</v>
      </c>
      <c r="K381" s="39">
        <v>0</v>
      </c>
      <c r="L381" s="50"/>
      <c r="M381" s="50"/>
      <c r="N381" s="1">
        <f>Tabla5[[#This Row],[TRIMESTRE  I]]+Tabla5[[#This Row],[TRIMESTRE II]]+Tabla5[[#This Row],[TRIMESTRE III]]+Tabla5[[#This Row],[TRIMESTRE IV]]</f>
        <v>0</v>
      </c>
      <c r="O381" s="39"/>
      <c r="P381" s="39"/>
      <c r="Q381" s="59"/>
    </row>
    <row r="382" spans="2:17" ht="33.75" x14ac:dyDescent="0.2">
      <c r="B382" s="46">
        <v>503056</v>
      </c>
      <c r="C382" s="47" t="s">
        <v>523</v>
      </c>
      <c r="D382" s="48">
        <v>530</v>
      </c>
      <c r="E382" s="43" t="str">
        <f>IF(D382&lt;=0,"",VLOOKUP(D382,[1]FF!A:D,2,0))</f>
        <v>PARTICIPACIONES Ramo 28</v>
      </c>
      <c r="F382" s="37" t="s">
        <v>537</v>
      </c>
      <c r="G382" s="37" t="s">
        <v>461</v>
      </c>
      <c r="H382" s="49">
        <v>218002</v>
      </c>
      <c r="I382" s="44" t="str">
        <f>IF(H382&lt;=0,"",VLOOKUP(H382,[4]COG!A:H,2,0))</f>
        <v>Placas, Engomados, Calcomanías y Hologramas</v>
      </c>
      <c r="J382" s="39">
        <v>0</v>
      </c>
      <c r="K382" s="39">
        <v>0</v>
      </c>
      <c r="L382" s="50"/>
      <c r="M382" s="50"/>
      <c r="N382" s="1">
        <f>Tabla5[[#This Row],[TRIMESTRE  I]]+Tabla5[[#This Row],[TRIMESTRE II]]+Tabla5[[#This Row],[TRIMESTRE III]]+Tabla5[[#This Row],[TRIMESTRE IV]]</f>
        <v>0</v>
      </c>
      <c r="O382" s="39"/>
      <c r="P382" s="39"/>
      <c r="Q382" s="59"/>
    </row>
    <row r="383" spans="2:17" ht="33.75" x14ac:dyDescent="0.2">
      <c r="B383" s="46">
        <v>503056</v>
      </c>
      <c r="C383" s="47" t="s">
        <v>523</v>
      </c>
      <c r="D383" s="48">
        <v>530</v>
      </c>
      <c r="E383" s="43" t="str">
        <f>IF(D383&lt;=0,"",VLOOKUP(D383,[1]FF!A:D,2,0))</f>
        <v>PARTICIPACIONES Ramo 28</v>
      </c>
      <c r="F383" s="37" t="s">
        <v>537</v>
      </c>
      <c r="G383" s="37" t="s">
        <v>461</v>
      </c>
      <c r="H383" s="49">
        <v>218003</v>
      </c>
      <c r="I383" s="44" t="str">
        <f>IF(H383&lt;=0,"",VLOOKUP(H383,[4]COG!A:H,2,0))</f>
        <v>Emisión de Licencias de Conducir</v>
      </c>
      <c r="J383" s="39">
        <v>46263</v>
      </c>
      <c r="K383" s="39">
        <v>181209</v>
      </c>
      <c r="L383" s="50"/>
      <c r="M383" s="50"/>
      <c r="N383" s="1">
        <f>Tabla5[[#This Row],[TRIMESTRE  I]]+Tabla5[[#This Row],[TRIMESTRE II]]+Tabla5[[#This Row],[TRIMESTRE III]]+Tabla5[[#This Row],[TRIMESTRE IV]]</f>
        <v>227472</v>
      </c>
      <c r="O383" s="39"/>
      <c r="P383" s="39"/>
      <c r="Q383" s="59"/>
    </row>
    <row r="384" spans="2:17" ht="33.75" x14ac:dyDescent="0.2">
      <c r="B384" s="46">
        <v>503056</v>
      </c>
      <c r="C384" s="47" t="s">
        <v>523</v>
      </c>
      <c r="D384" s="48">
        <v>530</v>
      </c>
      <c r="E384" s="43" t="str">
        <f>IF(D384&lt;=0,"",VLOOKUP(D384,[1]FF!A:D,2,0))</f>
        <v>PARTICIPACIONES Ramo 28</v>
      </c>
      <c r="F384" s="37" t="s">
        <v>537</v>
      </c>
      <c r="G384" s="37" t="s">
        <v>461</v>
      </c>
      <c r="H384" s="49">
        <v>218004</v>
      </c>
      <c r="I384" s="44" t="str">
        <f>IF(H384&lt;=0,"",VLOOKUP(H384,[4]COG!A:H,2,0))</f>
        <v>Emisión de Formatos Únicos de Control Vehicular</v>
      </c>
      <c r="J384" s="39">
        <v>0</v>
      </c>
      <c r="K384" s="39">
        <v>0</v>
      </c>
      <c r="L384" s="50"/>
      <c r="M384" s="50"/>
      <c r="N384" s="1">
        <f>Tabla5[[#This Row],[TRIMESTRE  I]]+Tabla5[[#This Row],[TRIMESTRE II]]+Tabla5[[#This Row],[TRIMESTRE III]]+Tabla5[[#This Row],[TRIMESTRE IV]]</f>
        <v>0</v>
      </c>
      <c r="O384" s="39"/>
      <c r="P384" s="39"/>
      <c r="Q384" s="59"/>
    </row>
    <row r="385" spans="2:17" ht="22.5" x14ac:dyDescent="0.2">
      <c r="B385" s="46">
        <v>504057</v>
      </c>
      <c r="C385" s="47" t="s">
        <v>523</v>
      </c>
      <c r="D385" s="48">
        <v>530</v>
      </c>
      <c r="E385" s="43" t="str">
        <f>IF(D385&lt;=0,"",VLOOKUP(D385,[1]FF!A:D,2,0))</f>
        <v>PARTICIPACIONES Ramo 28</v>
      </c>
      <c r="F385" s="37" t="s">
        <v>538</v>
      </c>
      <c r="G385" s="37" t="s">
        <v>461</v>
      </c>
      <c r="H385" s="49">
        <v>211001</v>
      </c>
      <c r="I385" s="44" t="str">
        <f>IF(H385&lt;=0,"",VLOOKUP(H385,[4]COG!A:H,2,0))</f>
        <v>Material de oficina</v>
      </c>
      <c r="J385" s="39">
        <v>85614</v>
      </c>
      <c r="K385" s="39">
        <v>85614</v>
      </c>
      <c r="L385" s="50"/>
      <c r="M385" s="50"/>
      <c r="N385" s="1">
        <f>Tabla5[[#This Row],[TRIMESTRE  I]]+Tabla5[[#This Row],[TRIMESTRE II]]+Tabla5[[#This Row],[TRIMESTRE III]]+Tabla5[[#This Row],[TRIMESTRE IV]]</f>
        <v>171228</v>
      </c>
      <c r="O385" s="39"/>
      <c r="P385" s="39"/>
      <c r="Q385" s="59"/>
    </row>
    <row r="386" spans="2:17" ht="22.5" x14ac:dyDescent="0.2">
      <c r="B386" s="46">
        <v>504057</v>
      </c>
      <c r="C386" s="47" t="s">
        <v>523</v>
      </c>
      <c r="D386" s="48">
        <v>530</v>
      </c>
      <c r="E386" s="43" t="str">
        <f>IF(D386&lt;=0,"",VLOOKUP(D386,[1]FF!A:D,2,0))</f>
        <v>PARTICIPACIONES Ramo 28</v>
      </c>
      <c r="F386" s="37" t="s">
        <v>538</v>
      </c>
      <c r="G386" s="37" t="s">
        <v>461</v>
      </c>
      <c r="H386" s="49">
        <v>212001</v>
      </c>
      <c r="I386" s="44" t="str">
        <f>IF(H386&lt;=0,"",VLOOKUP(H386,[4]COG!A:H,2,0))</f>
        <v>Material y útiles de impresión</v>
      </c>
      <c r="J386" s="39">
        <v>38919</v>
      </c>
      <c r="K386" s="39">
        <v>38918</v>
      </c>
      <c r="L386" s="50"/>
      <c r="M386" s="50"/>
      <c r="N386" s="1">
        <f>Tabla5[[#This Row],[TRIMESTRE  I]]+Tabla5[[#This Row],[TRIMESTRE II]]+Tabla5[[#This Row],[TRIMESTRE III]]+Tabla5[[#This Row],[TRIMESTRE IV]]</f>
        <v>77837</v>
      </c>
      <c r="O386" s="39"/>
      <c r="P386" s="39"/>
      <c r="Q386" s="59"/>
    </row>
    <row r="387" spans="2:17" ht="27" x14ac:dyDescent="0.2">
      <c r="B387" s="46">
        <v>504057</v>
      </c>
      <c r="C387" s="47" t="s">
        <v>523</v>
      </c>
      <c r="D387" s="48">
        <v>530</v>
      </c>
      <c r="E387" s="43" t="str">
        <f>IF(D387&lt;=0,"",VLOOKUP(D387,[1]FF!A:D,2,0))</f>
        <v>PARTICIPACIONES Ramo 28</v>
      </c>
      <c r="F387" s="37" t="s">
        <v>538</v>
      </c>
      <c r="G387" s="37" t="s">
        <v>461</v>
      </c>
      <c r="H387" s="49">
        <v>214001</v>
      </c>
      <c r="I387" s="44" t="str">
        <f>IF(H387&lt;=0,"",VLOOKUP(H387,[4]COG!A:H,2,0))</f>
        <v>Materiales, útiles y equipos menores de tecnologías de la información y comunicaciones</v>
      </c>
      <c r="J387" s="39">
        <v>200630.68</v>
      </c>
      <c r="K387" s="39">
        <v>212535</v>
      </c>
      <c r="L387" s="50"/>
      <c r="M387" s="50"/>
      <c r="N387" s="1">
        <f>Tabla5[[#This Row],[TRIMESTRE  I]]+Tabla5[[#This Row],[TRIMESTRE II]]+Tabla5[[#This Row],[TRIMESTRE III]]+Tabla5[[#This Row],[TRIMESTRE IV]]</f>
        <v>413165.68</v>
      </c>
      <c r="O387" s="39"/>
      <c r="P387" s="39"/>
      <c r="Q387" s="59"/>
    </row>
    <row r="388" spans="2:17" ht="22.5" x14ac:dyDescent="0.2">
      <c r="B388" s="46">
        <v>504057</v>
      </c>
      <c r="C388" s="47" t="s">
        <v>523</v>
      </c>
      <c r="D388" s="48">
        <v>530</v>
      </c>
      <c r="E388" s="43" t="str">
        <f>IF(D388&lt;=0,"",VLOOKUP(D388,[1]FF!A:D,2,0))</f>
        <v>PARTICIPACIONES Ramo 28</v>
      </c>
      <c r="F388" s="37" t="s">
        <v>538</v>
      </c>
      <c r="G388" s="37" t="s">
        <v>461</v>
      </c>
      <c r="H388" s="49">
        <v>215001</v>
      </c>
      <c r="I388" s="44" t="str">
        <f>IF(H388&lt;=0,"",VLOOKUP(H388,[4]COG!A:H,2,0))</f>
        <v>Material didáctico</v>
      </c>
      <c r="J388" s="39">
        <v>5343</v>
      </c>
      <c r="K388" s="39">
        <v>5343</v>
      </c>
      <c r="L388" s="50"/>
      <c r="M388" s="50"/>
      <c r="N388" s="1">
        <f>Tabla5[[#This Row],[TRIMESTRE  I]]+Tabla5[[#This Row],[TRIMESTRE II]]+Tabla5[[#This Row],[TRIMESTRE III]]+Tabla5[[#This Row],[TRIMESTRE IV]]</f>
        <v>10686</v>
      </c>
      <c r="O388" s="39"/>
      <c r="P388" s="39"/>
      <c r="Q388" s="59"/>
    </row>
    <row r="389" spans="2:17" ht="22.5" x14ac:dyDescent="0.2">
      <c r="B389" s="46">
        <v>504057</v>
      </c>
      <c r="C389" s="47" t="s">
        <v>523</v>
      </c>
      <c r="D389" s="48">
        <v>530</v>
      </c>
      <c r="E389" s="43" t="str">
        <f>IF(D389&lt;=0,"",VLOOKUP(D389,[1]FF!A:D,2,0))</f>
        <v>PARTICIPACIONES Ramo 28</v>
      </c>
      <c r="F389" s="37" t="s">
        <v>538</v>
      </c>
      <c r="G389" s="37" t="s">
        <v>461</v>
      </c>
      <c r="H389" s="49">
        <v>216001</v>
      </c>
      <c r="I389" s="44" t="str">
        <f>IF(H389&lt;=0,"",VLOOKUP(H389,[4]COG!A:H,2,0))</f>
        <v>Material de limpieza</v>
      </c>
      <c r="J389" s="39">
        <v>2853</v>
      </c>
      <c r="K389" s="39">
        <v>2853</v>
      </c>
      <c r="L389" s="50"/>
      <c r="M389" s="50"/>
      <c r="N389" s="1">
        <f>Tabla5[[#This Row],[TRIMESTRE  I]]+Tabla5[[#This Row],[TRIMESTRE II]]+Tabla5[[#This Row],[TRIMESTRE III]]+Tabla5[[#This Row],[TRIMESTRE IV]]</f>
        <v>5706</v>
      </c>
      <c r="O389" s="39"/>
      <c r="P389" s="39"/>
      <c r="Q389" s="59"/>
    </row>
    <row r="390" spans="2:17" ht="22.5" x14ac:dyDescent="0.2">
      <c r="B390" s="46">
        <v>504057</v>
      </c>
      <c r="C390" s="47" t="s">
        <v>523</v>
      </c>
      <c r="D390" s="48">
        <v>530</v>
      </c>
      <c r="E390" s="42" t="str">
        <f>IF(D390&lt;=0,"",VLOOKUP(D390,[1]FF!A:D,2,0))</f>
        <v>PARTICIPACIONES Ramo 28</v>
      </c>
      <c r="F390" s="37" t="s">
        <v>538</v>
      </c>
      <c r="G390" s="37" t="s">
        <v>461</v>
      </c>
      <c r="H390" s="38">
        <v>221001</v>
      </c>
      <c r="I390" s="41" t="str">
        <f>IF(H390&lt;=0,"",VLOOKUP(H390,[4]COG!A:H,2,0))</f>
        <v>Alimentación de personas</v>
      </c>
      <c r="J390" s="39">
        <v>0</v>
      </c>
      <c r="K390" s="39">
        <v>0</v>
      </c>
      <c r="L390" s="39"/>
      <c r="M390" s="39"/>
      <c r="N390" s="1">
        <f>Tabla5[[#This Row],[TRIMESTRE  I]]+Tabla5[[#This Row],[TRIMESTRE II]]+Tabla5[[#This Row],[TRIMESTRE III]]+Tabla5[[#This Row],[TRIMESTRE IV]]</f>
        <v>0</v>
      </c>
      <c r="O390" s="39"/>
      <c r="P390" s="79"/>
      <c r="Q390" s="59"/>
    </row>
    <row r="391" spans="2:17" ht="22.5" x14ac:dyDescent="0.2">
      <c r="B391" s="46">
        <v>504057</v>
      </c>
      <c r="C391" s="47" t="s">
        <v>523</v>
      </c>
      <c r="D391" s="48">
        <v>530</v>
      </c>
      <c r="E391" s="42" t="str">
        <f>IF(D391&lt;=0,"",VLOOKUP(D391,[1]FF!A:D,2,0))</f>
        <v>PARTICIPACIONES Ramo 28</v>
      </c>
      <c r="F391" s="37" t="s">
        <v>538</v>
      </c>
      <c r="G391" s="37" t="s">
        <v>461</v>
      </c>
      <c r="H391" s="38">
        <v>223001</v>
      </c>
      <c r="I391" s="41" t="str">
        <f>IF(H391&lt;=0,"",VLOOKUP(H391,[4]COG!A:H,2,0))</f>
        <v>Utensilios para el servicio de alimentación</v>
      </c>
      <c r="J391" s="39">
        <v>0</v>
      </c>
      <c r="K391" s="39">
        <v>0</v>
      </c>
      <c r="L391" s="39"/>
      <c r="M391" s="39"/>
      <c r="N391" s="1">
        <f>Tabla5[[#This Row],[TRIMESTRE  I]]+Tabla5[[#This Row],[TRIMESTRE II]]+Tabla5[[#This Row],[TRIMESTRE III]]+Tabla5[[#This Row],[TRIMESTRE IV]]</f>
        <v>0</v>
      </c>
      <c r="O391" s="39"/>
      <c r="P391" s="79"/>
      <c r="Q391" s="59"/>
    </row>
    <row r="392" spans="2:17" ht="22.5" x14ac:dyDescent="0.2">
      <c r="B392" s="46">
        <v>504057</v>
      </c>
      <c r="C392" s="47" t="s">
        <v>523</v>
      </c>
      <c r="D392" s="48">
        <v>530</v>
      </c>
      <c r="E392" s="42" t="str">
        <f>IF(D392&lt;=0,"",VLOOKUP(D392,[1]FF!A:D,2,0))</f>
        <v>PARTICIPACIONES Ramo 28</v>
      </c>
      <c r="F392" s="37" t="s">
        <v>538</v>
      </c>
      <c r="G392" s="37" t="s">
        <v>461</v>
      </c>
      <c r="H392" s="38">
        <v>244001</v>
      </c>
      <c r="I392" s="41" t="str">
        <f>IF(H392&lt;=0,"",VLOOKUP(H392,[4]COG!A:H,2,0))</f>
        <v>Madera y productos de madera</v>
      </c>
      <c r="J392" s="39">
        <v>116790</v>
      </c>
      <c r="K392" s="39">
        <v>116790</v>
      </c>
      <c r="L392" s="39"/>
      <c r="M392" s="39"/>
      <c r="N392" s="1">
        <f>Tabla5[[#This Row],[TRIMESTRE  I]]+Tabla5[[#This Row],[TRIMESTRE II]]+Tabla5[[#This Row],[TRIMESTRE III]]+Tabla5[[#This Row],[TRIMESTRE IV]]</f>
        <v>233580</v>
      </c>
      <c r="O392" s="39"/>
      <c r="P392" s="79"/>
      <c r="Q392" s="59"/>
    </row>
    <row r="393" spans="2:17" ht="22.5" x14ac:dyDescent="0.2">
      <c r="B393" s="46">
        <v>504057</v>
      </c>
      <c r="C393" s="47" t="s">
        <v>523</v>
      </c>
      <c r="D393" s="48">
        <v>530</v>
      </c>
      <c r="E393" s="42" t="str">
        <f>IF(D393&lt;=0,"",VLOOKUP(D393,[1]FF!A:D,2,0))</f>
        <v>PARTICIPACIONES Ramo 28</v>
      </c>
      <c r="F393" s="37" t="s">
        <v>538</v>
      </c>
      <c r="G393" s="37" t="s">
        <v>461</v>
      </c>
      <c r="H393" s="38">
        <v>246001</v>
      </c>
      <c r="I393" s="41" t="str">
        <f>IF(H393&lt;=0,"",VLOOKUP(H393,[4]COG!A:H,2,0))</f>
        <v>Material eléctrico</v>
      </c>
      <c r="J393" s="39">
        <v>20400</v>
      </c>
      <c r="K393" s="39">
        <v>20400</v>
      </c>
      <c r="L393" s="39"/>
      <c r="M393" s="39"/>
      <c r="N393" s="1">
        <f>Tabla5[[#This Row],[TRIMESTRE  I]]+Tabla5[[#This Row],[TRIMESTRE II]]+Tabla5[[#This Row],[TRIMESTRE III]]+Tabla5[[#This Row],[TRIMESTRE IV]]</f>
        <v>40800</v>
      </c>
      <c r="O393" s="39"/>
      <c r="P393" s="79"/>
      <c r="Q393" s="59"/>
    </row>
    <row r="394" spans="2:17" ht="22.5" x14ac:dyDescent="0.2">
      <c r="B394" s="46">
        <v>504057</v>
      </c>
      <c r="C394" s="47" t="s">
        <v>523</v>
      </c>
      <c r="D394" s="48">
        <v>530</v>
      </c>
      <c r="E394" s="42" t="str">
        <f>IF(D394&lt;=0,"",VLOOKUP(D394,[1]FF!A:D,2,0))</f>
        <v>PARTICIPACIONES Ramo 28</v>
      </c>
      <c r="F394" s="37" t="s">
        <v>538</v>
      </c>
      <c r="G394" s="37" t="s">
        <v>461</v>
      </c>
      <c r="H394" s="38">
        <v>256001</v>
      </c>
      <c r="I394" s="41" t="str">
        <f>IF(H394&lt;=0,"",VLOOKUP(H394,[4]COG!A:H,2,0))</f>
        <v>Fibras sintéticas, hules, plásticos y derivados</v>
      </c>
      <c r="J394" s="39">
        <v>86920</v>
      </c>
      <c r="K394" s="39">
        <v>97920</v>
      </c>
      <c r="L394" s="39"/>
      <c r="M394" s="39"/>
      <c r="N394" s="1">
        <f>Tabla5[[#This Row],[TRIMESTRE  I]]+Tabla5[[#This Row],[TRIMESTRE II]]+Tabla5[[#This Row],[TRIMESTRE III]]+Tabla5[[#This Row],[TRIMESTRE IV]]</f>
        <v>184840</v>
      </c>
      <c r="O394" s="39"/>
      <c r="P394" s="79"/>
      <c r="Q394" s="59"/>
    </row>
    <row r="395" spans="2:17" ht="22.5" x14ac:dyDescent="0.2">
      <c r="B395" s="46">
        <v>504057</v>
      </c>
      <c r="C395" s="47" t="s">
        <v>523</v>
      </c>
      <c r="D395" s="48">
        <v>530</v>
      </c>
      <c r="E395" s="42" t="str">
        <f>IF(D395&lt;=0,"",VLOOKUP(D395,[1]FF!A:D,2,0))</f>
        <v>PARTICIPACIONES Ramo 28</v>
      </c>
      <c r="F395" s="37" t="s">
        <v>538</v>
      </c>
      <c r="G395" s="37" t="s">
        <v>461</v>
      </c>
      <c r="H395" s="38">
        <v>261001</v>
      </c>
      <c r="I395" s="41" t="str">
        <f>IF(H395&lt;=0,"",VLOOKUP(H395,[4]COG!A:H,2,0))</f>
        <v>Combustibles</v>
      </c>
      <c r="J395" s="39">
        <v>124863</v>
      </c>
      <c r="K395" s="39">
        <v>124863</v>
      </c>
      <c r="L395" s="39"/>
      <c r="M395" s="39"/>
      <c r="N395" s="1">
        <f>Tabla5[[#This Row],[TRIMESTRE  I]]+Tabla5[[#This Row],[TRIMESTRE II]]+Tabla5[[#This Row],[TRIMESTRE III]]+Tabla5[[#This Row],[TRIMESTRE IV]]</f>
        <v>249726</v>
      </c>
      <c r="O395" s="39"/>
      <c r="P395" s="79"/>
      <c r="Q395" s="59"/>
    </row>
    <row r="396" spans="2:17" ht="22.5" x14ac:dyDescent="0.2">
      <c r="B396" s="46">
        <v>504057</v>
      </c>
      <c r="C396" s="47" t="s">
        <v>523</v>
      </c>
      <c r="D396" s="48">
        <v>530</v>
      </c>
      <c r="E396" s="42" t="str">
        <f>IF(D396&lt;=0,"",VLOOKUP(D396,[1]FF!A:D,2,0))</f>
        <v>PARTICIPACIONES Ramo 28</v>
      </c>
      <c r="F396" s="37" t="s">
        <v>538</v>
      </c>
      <c r="G396" s="37" t="s">
        <v>461</v>
      </c>
      <c r="H396" s="38">
        <v>261002</v>
      </c>
      <c r="I396" s="41" t="str">
        <f>IF(H396&lt;=0,"",VLOOKUP(H396,[4]COG!A:H,2,0))</f>
        <v>Lubricantes y aditivos</v>
      </c>
      <c r="J396" s="39">
        <v>0</v>
      </c>
      <c r="K396" s="39">
        <v>0</v>
      </c>
      <c r="L396" s="39"/>
      <c r="M396" s="39"/>
      <c r="N396" s="1">
        <f>Tabla5[[#This Row],[TRIMESTRE  I]]+Tabla5[[#This Row],[TRIMESTRE II]]+Tabla5[[#This Row],[TRIMESTRE III]]+Tabla5[[#This Row],[TRIMESTRE IV]]</f>
        <v>0</v>
      </c>
      <c r="O396" s="39"/>
      <c r="P396" s="79"/>
      <c r="Q396" s="59"/>
    </row>
    <row r="397" spans="2:17" ht="22.5" x14ac:dyDescent="0.2">
      <c r="B397" s="46">
        <v>504057</v>
      </c>
      <c r="C397" s="47" t="s">
        <v>523</v>
      </c>
      <c r="D397" s="48">
        <v>530</v>
      </c>
      <c r="E397" s="42" t="str">
        <f>IF(D397&lt;=0,"",VLOOKUP(D397,[1]FF!A:D,2,0))</f>
        <v>PARTICIPACIONES Ramo 28</v>
      </c>
      <c r="F397" s="37" t="s">
        <v>538</v>
      </c>
      <c r="G397" s="37" t="s">
        <v>461</v>
      </c>
      <c r="H397" s="38">
        <v>271001</v>
      </c>
      <c r="I397" s="41" t="str">
        <f>IF(H397&lt;=0,"",VLOOKUP(H397,[4]COG!A:H,2,0))</f>
        <v>Ropa, vestuario y equipo</v>
      </c>
      <c r="J397" s="39">
        <v>1056</v>
      </c>
      <c r="K397" s="39">
        <v>1056</v>
      </c>
      <c r="L397" s="39"/>
      <c r="M397" s="39"/>
      <c r="N397" s="1">
        <f>Tabla5[[#This Row],[TRIMESTRE  I]]+Tabla5[[#This Row],[TRIMESTRE II]]+Tabla5[[#This Row],[TRIMESTRE III]]+Tabla5[[#This Row],[TRIMESTRE IV]]</f>
        <v>2112</v>
      </c>
      <c r="O397" s="39"/>
      <c r="P397" s="79"/>
      <c r="Q397" s="59"/>
    </row>
    <row r="398" spans="2:17" ht="22.5" x14ac:dyDescent="0.2">
      <c r="B398" s="46">
        <v>504057</v>
      </c>
      <c r="C398" s="47" t="s">
        <v>523</v>
      </c>
      <c r="D398" s="48">
        <v>530</v>
      </c>
      <c r="E398" s="42" t="str">
        <f>IF(D398&lt;=0,"",VLOOKUP(D398,[1]FF!A:D,2,0))</f>
        <v>PARTICIPACIONES Ramo 28</v>
      </c>
      <c r="F398" s="37" t="s">
        <v>538</v>
      </c>
      <c r="G398" s="37" t="s">
        <v>461</v>
      </c>
      <c r="H398" s="38">
        <v>275001</v>
      </c>
      <c r="I398" s="41" t="str">
        <f>IF(H398&lt;=0,"",VLOOKUP(H398,[4]COG!A:H,2,0))</f>
        <v>Blancos y otros productos textiles, excepto prendas de vestir</v>
      </c>
      <c r="J398" s="39">
        <v>72420</v>
      </c>
      <c r="K398" s="39">
        <v>72420</v>
      </c>
      <c r="L398" s="39"/>
      <c r="M398" s="39"/>
      <c r="N398" s="1">
        <f>Tabla5[[#This Row],[TRIMESTRE  I]]+Tabla5[[#This Row],[TRIMESTRE II]]+Tabla5[[#This Row],[TRIMESTRE III]]+Tabla5[[#This Row],[TRIMESTRE IV]]</f>
        <v>144840</v>
      </c>
      <c r="O398" s="39"/>
      <c r="P398" s="79"/>
      <c r="Q398" s="59"/>
    </row>
    <row r="399" spans="2:17" ht="22.5" x14ac:dyDescent="0.2">
      <c r="B399" s="46">
        <v>504057</v>
      </c>
      <c r="C399" s="47" t="s">
        <v>523</v>
      </c>
      <c r="D399" s="48">
        <v>530</v>
      </c>
      <c r="E399" s="42" t="str">
        <f>IF(D399&lt;=0,"",VLOOKUP(D399,[1]FF!A:D,2,0))</f>
        <v>PARTICIPACIONES Ramo 28</v>
      </c>
      <c r="F399" s="37" t="s">
        <v>538</v>
      </c>
      <c r="G399" s="37" t="s">
        <v>461</v>
      </c>
      <c r="H399" s="38">
        <v>294001</v>
      </c>
      <c r="I399" s="41" t="str">
        <f>IF(H399&lt;=0,"",VLOOKUP(H399,[4]COG!A:H,2,0))</f>
        <v>Dispositivos Internos y Externos de Equipo de Computo</v>
      </c>
      <c r="J399" s="39">
        <v>56100</v>
      </c>
      <c r="K399" s="39">
        <v>56100</v>
      </c>
      <c r="L399" s="39"/>
      <c r="M399" s="39"/>
      <c r="N399" s="1">
        <f>Tabla5[[#This Row],[TRIMESTRE  I]]+Tabla5[[#This Row],[TRIMESTRE II]]+Tabla5[[#This Row],[TRIMESTRE III]]+Tabla5[[#This Row],[TRIMESTRE IV]]</f>
        <v>112200</v>
      </c>
      <c r="O399" s="39"/>
      <c r="P399" s="79"/>
      <c r="Q399" s="59"/>
    </row>
    <row r="400" spans="2:17" ht="22.5" x14ac:dyDescent="0.2">
      <c r="B400" s="46">
        <v>504057</v>
      </c>
      <c r="C400" s="47" t="s">
        <v>523</v>
      </c>
      <c r="D400" s="48">
        <v>530</v>
      </c>
      <c r="E400" s="42" t="str">
        <f>IF(D400&lt;=0,"",VLOOKUP(D400,[1]FF!A:D,2,0))</f>
        <v>PARTICIPACIONES Ramo 28</v>
      </c>
      <c r="F400" s="37" t="s">
        <v>538</v>
      </c>
      <c r="G400" s="37" t="s">
        <v>461</v>
      </c>
      <c r="H400" s="38">
        <v>296001</v>
      </c>
      <c r="I400" s="41" t="str">
        <f>IF(H400&lt;=0,"",VLOOKUP(H400,[4]COG!A:H,2,0))</f>
        <v>Herramientas, refacciones y accesorios</v>
      </c>
      <c r="J400" s="39">
        <v>12318</v>
      </c>
      <c r="K400" s="39">
        <v>12318</v>
      </c>
      <c r="L400" s="39"/>
      <c r="M400" s="39"/>
      <c r="N400" s="1">
        <f>Tabla5[[#This Row],[TRIMESTRE  I]]+Tabla5[[#This Row],[TRIMESTRE II]]+Tabla5[[#This Row],[TRIMESTRE III]]+Tabla5[[#This Row],[TRIMESTRE IV]]</f>
        <v>24636</v>
      </c>
      <c r="O400" s="39"/>
      <c r="P400" s="79"/>
      <c r="Q400" s="59"/>
    </row>
    <row r="401" spans="2:17" ht="22.5" x14ac:dyDescent="0.2">
      <c r="B401" s="46">
        <v>504057</v>
      </c>
      <c r="C401" s="47" t="s">
        <v>523</v>
      </c>
      <c r="D401" s="48">
        <v>530</v>
      </c>
      <c r="E401" s="42" t="str">
        <f>IF(D401&lt;=0,"",VLOOKUP(D401,[1]FF!A:D,2,0))</f>
        <v>PARTICIPACIONES Ramo 28</v>
      </c>
      <c r="F401" s="37" t="s">
        <v>538</v>
      </c>
      <c r="G401" s="37" t="s">
        <v>461</v>
      </c>
      <c r="H401" s="38">
        <v>299001</v>
      </c>
      <c r="I401" s="41" t="str">
        <f>IF(H401&lt;=0,"",VLOOKUP(H401,[4]COG!A:H,2,0))</f>
        <v>Refacciones y accesorios menores otros bienes muebles</v>
      </c>
      <c r="J401" s="39">
        <v>0</v>
      </c>
      <c r="K401" s="39">
        <v>0</v>
      </c>
      <c r="L401" s="39"/>
      <c r="M401" s="39"/>
      <c r="N401" s="1">
        <f>Tabla5[[#This Row],[TRIMESTRE  I]]+Tabla5[[#This Row],[TRIMESTRE II]]+Tabla5[[#This Row],[TRIMESTRE III]]+Tabla5[[#This Row],[TRIMESTRE IV]]</f>
        <v>0</v>
      </c>
      <c r="O401" s="39"/>
      <c r="P401" s="79"/>
      <c r="Q401" s="59"/>
    </row>
    <row r="402" spans="2:17" ht="33.75" x14ac:dyDescent="0.2">
      <c r="B402" s="34">
        <v>504058</v>
      </c>
      <c r="C402" s="47" t="s">
        <v>523</v>
      </c>
      <c r="D402" s="36">
        <v>530</v>
      </c>
      <c r="E402" s="42" t="str">
        <f>IF(D402&lt;=0,"",VLOOKUP(D402,[1]FF!A:D,2,0))</f>
        <v>PARTICIPACIONES Ramo 28</v>
      </c>
      <c r="F402" s="37" t="s">
        <v>539</v>
      </c>
      <c r="G402" s="37" t="s">
        <v>461</v>
      </c>
      <c r="H402" s="38">
        <v>261001</v>
      </c>
      <c r="I402" s="41" t="str">
        <f>IF(H402&lt;=0,"",VLOOKUP(H402,[4]COG!A:H,2,0))</f>
        <v>Combustibles</v>
      </c>
      <c r="J402" s="39">
        <v>5055</v>
      </c>
      <c r="K402" s="39">
        <v>5055</v>
      </c>
      <c r="L402" s="39"/>
      <c r="M402" s="39"/>
      <c r="N402" s="1">
        <f>Tabla5[[#This Row],[TRIMESTRE  I]]+Tabla5[[#This Row],[TRIMESTRE II]]+Tabla5[[#This Row],[TRIMESTRE III]]+Tabla5[[#This Row],[TRIMESTRE IV]]</f>
        <v>10110</v>
      </c>
      <c r="O402" s="39"/>
      <c r="P402" s="79"/>
      <c r="Q402" s="59"/>
    </row>
    <row r="403" spans="2:17" ht="45" x14ac:dyDescent="0.2">
      <c r="B403" s="34">
        <v>505059</v>
      </c>
      <c r="C403" s="35" t="s">
        <v>523</v>
      </c>
      <c r="D403" s="36">
        <v>530</v>
      </c>
      <c r="E403" s="42" t="str">
        <f>IF(D403&lt;=0,"",VLOOKUP(D403,[1]FF!A:D,2,0))</f>
        <v>PARTICIPACIONES Ramo 28</v>
      </c>
      <c r="F403" s="37" t="s">
        <v>540</v>
      </c>
      <c r="G403" s="37" t="s">
        <v>461</v>
      </c>
      <c r="H403" s="38">
        <v>211001</v>
      </c>
      <c r="I403" s="41" t="str">
        <f>IF(H403&lt;=0,"",VLOOKUP(H403,[4]COG!A:H,2,0))</f>
        <v>Material de oficina</v>
      </c>
      <c r="J403" s="39">
        <v>3923</v>
      </c>
      <c r="K403" s="39">
        <v>3907</v>
      </c>
      <c r="L403" s="39"/>
      <c r="M403" s="39"/>
      <c r="N403" s="1">
        <f>Tabla5[[#This Row],[TRIMESTRE  I]]+Tabla5[[#This Row],[TRIMESTRE II]]+Tabla5[[#This Row],[TRIMESTRE III]]+Tabla5[[#This Row],[TRIMESTRE IV]]</f>
        <v>7830</v>
      </c>
      <c r="O403" s="39"/>
      <c r="P403" s="79"/>
      <c r="Q403" s="59"/>
    </row>
    <row r="404" spans="2:17" ht="45" x14ac:dyDescent="0.2">
      <c r="B404" s="34">
        <v>505059</v>
      </c>
      <c r="C404" s="35" t="s">
        <v>523</v>
      </c>
      <c r="D404" s="36">
        <v>530</v>
      </c>
      <c r="E404" s="42" t="str">
        <f>IF(D404&lt;=0,"",VLOOKUP(D404,[1]FF!A:D,2,0))</f>
        <v>PARTICIPACIONES Ramo 28</v>
      </c>
      <c r="F404" s="37" t="s">
        <v>540</v>
      </c>
      <c r="G404" s="37" t="s">
        <v>461</v>
      </c>
      <c r="H404" s="38">
        <v>212001</v>
      </c>
      <c r="I404" s="41" t="str">
        <f>IF(H404&lt;=0,"",VLOOKUP(H404,[4]COG!A:H,2,0))</f>
        <v>Material y útiles de impresión</v>
      </c>
      <c r="J404" s="39">
        <v>16029</v>
      </c>
      <c r="K404" s="39">
        <v>16029</v>
      </c>
      <c r="L404" s="39"/>
      <c r="M404" s="39"/>
      <c r="N404" s="1">
        <f>Tabla5[[#This Row],[TRIMESTRE  I]]+Tabla5[[#This Row],[TRIMESTRE II]]+Tabla5[[#This Row],[TRIMESTRE III]]+Tabla5[[#This Row],[TRIMESTRE IV]]</f>
        <v>32058</v>
      </c>
      <c r="O404" s="39"/>
      <c r="P404" s="79"/>
      <c r="Q404" s="59"/>
    </row>
    <row r="405" spans="2:17" ht="45" x14ac:dyDescent="0.2">
      <c r="B405" s="34">
        <v>505059</v>
      </c>
      <c r="C405" s="35" t="s">
        <v>523</v>
      </c>
      <c r="D405" s="36">
        <v>530</v>
      </c>
      <c r="E405" s="42" t="str">
        <f>IF(D405&lt;=0,"",VLOOKUP(D405,[1]FF!A:D,2,0))</f>
        <v>PARTICIPACIONES Ramo 28</v>
      </c>
      <c r="F405" s="37" t="s">
        <v>540</v>
      </c>
      <c r="G405" s="37" t="s">
        <v>461</v>
      </c>
      <c r="H405" s="38">
        <v>221001</v>
      </c>
      <c r="I405" s="41" t="str">
        <f>IF(H405&lt;=0,"",VLOOKUP(H405,[4]COG!A:H,2,0))</f>
        <v>Alimentación de personas</v>
      </c>
      <c r="J405" s="39">
        <v>0</v>
      </c>
      <c r="K405" s="39">
        <v>0</v>
      </c>
      <c r="L405" s="39"/>
      <c r="M405" s="39"/>
      <c r="N405" s="1">
        <f>Tabla5[[#This Row],[TRIMESTRE  I]]+Tabla5[[#This Row],[TRIMESTRE II]]+Tabla5[[#This Row],[TRIMESTRE III]]+Tabla5[[#This Row],[TRIMESTRE IV]]</f>
        <v>0</v>
      </c>
      <c r="O405" s="39"/>
      <c r="P405" s="79"/>
      <c r="Q405" s="59"/>
    </row>
    <row r="406" spans="2:17" ht="45" x14ac:dyDescent="0.2">
      <c r="B406" s="34">
        <v>505059</v>
      </c>
      <c r="C406" s="35" t="s">
        <v>523</v>
      </c>
      <c r="D406" s="36">
        <v>530</v>
      </c>
      <c r="E406" s="42" t="str">
        <f>IF(D406&lt;=0,"",VLOOKUP(D406,[1]FF!A:D,2,0))</f>
        <v>PARTICIPACIONES Ramo 28</v>
      </c>
      <c r="F406" s="37" t="s">
        <v>540</v>
      </c>
      <c r="G406" s="37" t="s">
        <v>461</v>
      </c>
      <c r="H406" s="38">
        <v>296001</v>
      </c>
      <c r="I406" s="41" t="str">
        <f>IF(H406&lt;=0,"",VLOOKUP(H406,[4]COG!A:H,2,0))</f>
        <v>Herramientas, refacciones y accesorios</v>
      </c>
      <c r="J406" s="39">
        <v>558</v>
      </c>
      <c r="K406" s="39">
        <v>558</v>
      </c>
      <c r="L406" s="39"/>
      <c r="M406" s="39"/>
      <c r="N406" s="1">
        <f>Tabla5[[#This Row],[TRIMESTRE  I]]+Tabla5[[#This Row],[TRIMESTRE II]]+Tabla5[[#This Row],[TRIMESTRE III]]+Tabla5[[#This Row],[TRIMESTRE IV]]</f>
        <v>1116</v>
      </c>
      <c r="O406" s="39"/>
      <c r="P406" s="79"/>
      <c r="Q406" s="59"/>
    </row>
    <row r="407" spans="2:17" ht="45" x14ac:dyDescent="0.2">
      <c r="B407" s="34">
        <v>505060</v>
      </c>
      <c r="C407" s="35" t="s">
        <v>523</v>
      </c>
      <c r="D407" s="36">
        <v>530</v>
      </c>
      <c r="E407" s="42" t="str">
        <f>IF(D407&lt;=0,"",VLOOKUP(D407,[1]FF!A:D,2,0))</f>
        <v>PARTICIPACIONES Ramo 28</v>
      </c>
      <c r="F407" s="37" t="s">
        <v>541</v>
      </c>
      <c r="G407" s="37" t="s">
        <v>461</v>
      </c>
      <c r="H407" s="38">
        <v>211001</v>
      </c>
      <c r="I407" s="41" t="str">
        <f>IF(H407&lt;=0,"",VLOOKUP(H407,[4]COG!A:H,2,0))</f>
        <v>Material de oficina</v>
      </c>
      <c r="J407" s="39">
        <v>14316</v>
      </c>
      <c r="K407" s="39">
        <v>14316</v>
      </c>
      <c r="L407" s="39"/>
      <c r="M407" s="39"/>
      <c r="N407" s="1">
        <f>Tabla5[[#This Row],[TRIMESTRE  I]]+Tabla5[[#This Row],[TRIMESTRE II]]+Tabla5[[#This Row],[TRIMESTRE III]]+Tabla5[[#This Row],[TRIMESTRE IV]]</f>
        <v>28632</v>
      </c>
      <c r="O407" s="39"/>
      <c r="P407" s="79"/>
      <c r="Q407" s="59"/>
    </row>
    <row r="408" spans="2:17" ht="45" x14ac:dyDescent="0.2">
      <c r="B408" s="34">
        <v>505060</v>
      </c>
      <c r="C408" s="35" t="s">
        <v>523</v>
      </c>
      <c r="D408" s="36">
        <v>530</v>
      </c>
      <c r="E408" s="42" t="str">
        <f>IF(D408&lt;=0,"",VLOOKUP(D408,[1]FF!A:D,2,0))</f>
        <v>PARTICIPACIONES Ramo 28</v>
      </c>
      <c r="F408" s="37" t="s">
        <v>541</v>
      </c>
      <c r="G408" s="37" t="s">
        <v>461</v>
      </c>
      <c r="H408" s="38">
        <v>212001</v>
      </c>
      <c r="I408" s="41" t="str">
        <f>IF(H408&lt;=0,"",VLOOKUP(H408,[4]COG!A:H,2,0))</f>
        <v>Material y útiles de impresión</v>
      </c>
      <c r="J408" s="39">
        <v>17046</v>
      </c>
      <c r="K408" s="39">
        <v>17046</v>
      </c>
      <c r="L408" s="39"/>
      <c r="M408" s="39"/>
      <c r="N408" s="1">
        <f>Tabla5[[#This Row],[TRIMESTRE  I]]+Tabla5[[#This Row],[TRIMESTRE II]]+Tabla5[[#This Row],[TRIMESTRE III]]+Tabla5[[#This Row],[TRIMESTRE IV]]</f>
        <v>34092</v>
      </c>
      <c r="O408" s="39"/>
      <c r="P408" s="79"/>
      <c r="Q408" s="59"/>
    </row>
    <row r="409" spans="2:17" ht="45" x14ac:dyDescent="0.2">
      <c r="B409" s="34">
        <v>505060</v>
      </c>
      <c r="C409" s="35" t="s">
        <v>523</v>
      </c>
      <c r="D409" s="36">
        <v>530</v>
      </c>
      <c r="E409" s="42" t="str">
        <f>IF(D409&lt;=0,"",VLOOKUP(D409,[1]FF!A:D,2,0))</f>
        <v>PARTICIPACIONES Ramo 28</v>
      </c>
      <c r="F409" s="37" t="s">
        <v>541</v>
      </c>
      <c r="G409" s="37" t="s">
        <v>461</v>
      </c>
      <c r="H409" s="38">
        <v>216001</v>
      </c>
      <c r="I409" s="41" t="str">
        <f>IF(H409&lt;=0,"",VLOOKUP(H409,[4]COG!A:H,2,0))</f>
        <v>Material de limpieza</v>
      </c>
      <c r="J409" s="39">
        <v>420</v>
      </c>
      <c r="K409" s="39">
        <v>420</v>
      </c>
      <c r="L409" s="39"/>
      <c r="M409" s="39"/>
      <c r="N409" s="1">
        <f>Tabla5[[#This Row],[TRIMESTRE  I]]+Tabla5[[#This Row],[TRIMESTRE II]]+Tabla5[[#This Row],[TRIMESTRE III]]+Tabla5[[#This Row],[TRIMESTRE IV]]</f>
        <v>840</v>
      </c>
      <c r="O409" s="39"/>
      <c r="P409" s="79"/>
      <c r="Q409" s="59"/>
    </row>
    <row r="410" spans="2:17" ht="45" x14ac:dyDescent="0.2">
      <c r="B410" s="34">
        <v>505060</v>
      </c>
      <c r="C410" s="35" t="s">
        <v>523</v>
      </c>
      <c r="D410" s="36">
        <v>530</v>
      </c>
      <c r="E410" s="42" t="str">
        <f>IF(D410&lt;=0,"",VLOOKUP(D410,[1]FF!A:D,2,0))</f>
        <v>PARTICIPACIONES Ramo 28</v>
      </c>
      <c r="F410" s="37" t="s">
        <v>541</v>
      </c>
      <c r="G410" s="37" t="s">
        <v>461</v>
      </c>
      <c r="H410" s="38">
        <v>261001</v>
      </c>
      <c r="I410" s="41" t="str">
        <f>IF(H410&lt;=0,"",VLOOKUP(H410,[4]COG!A:H,2,0))</f>
        <v>Combustibles</v>
      </c>
      <c r="J410" s="39">
        <v>16218</v>
      </c>
      <c r="K410" s="39">
        <v>16218</v>
      </c>
      <c r="L410" s="39"/>
      <c r="M410" s="39"/>
      <c r="N410" s="1">
        <f>Tabla5[[#This Row],[TRIMESTRE  I]]+Tabla5[[#This Row],[TRIMESTRE II]]+Tabla5[[#This Row],[TRIMESTRE III]]+Tabla5[[#This Row],[TRIMESTRE IV]]</f>
        <v>32436</v>
      </c>
      <c r="O410" s="39"/>
      <c r="P410" s="79"/>
      <c r="Q410" s="59"/>
    </row>
    <row r="411" spans="2:17" ht="45" x14ac:dyDescent="0.2">
      <c r="B411" s="34">
        <v>505060</v>
      </c>
      <c r="C411" s="35" t="s">
        <v>523</v>
      </c>
      <c r="D411" s="36">
        <v>530</v>
      </c>
      <c r="E411" s="42" t="str">
        <f>IF(D411&lt;=0,"",VLOOKUP(D411,[1]FF!A:D,2,0))</f>
        <v>PARTICIPACIONES Ramo 28</v>
      </c>
      <c r="F411" s="37" t="s">
        <v>541</v>
      </c>
      <c r="G411" s="37" t="s">
        <v>461</v>
      </c>
      <c r="H411" s="38">
        <v>271001</v>
      </c>
      <c r="I411" s="41" t="str">
        <f>IF(H411&lt;=0,"",VLOOKUP(H411,[4]COG!A:H,2,0))</f>
        <v>Ropa, vestuario y equipo</v>
      </c>
      <c r="J411" s="39">
        <v>1842</v>
      </c>
      <c r="K411" s="39">
        <v>1842</v>
      </c>
      <c r="L411" s="39"/>
      <c r="M411" s="39"/>
      <c r="N411" s="1">
        <f>Tabla5[[#This Row],[TRIMESTRE  I]]+Tabla5[[#This Row],[TRIMESTRE II]]+Tabla5[[#This Row],[TRIMESTRE III]]+Tabla5[[#This Row],[TRIMESTRE IV]]</f>
        <v>3684</v>
      </c>
      <c r="O411" s="39"/>
      <c r="P411" s="79"/>
      <c r="Q411" s="59"/>
    </row>
    <row r="412" spans="2:17" ht="45" x14ac:dyDescent="0.2">
      <c r="B412" s="34">
        <v>505060</v>
      </c>
      <c r="C412" s="35" t="s">
        <v>523</v>
      </c>
      <c r="D412" s="36">
        <v>530</v>
      </c>
      <c r="E412" s="42" t="str">
        <f>IF(D412&lt;=0,"",VLOOKUP(D412,[1]FF!A:D,2,0))</f>
        <v>PARTICIPACIONES Ramo 28</v>
      </c>
      <c r="F412" s="37" t="s">
        <v>541</v>
      </c>
      <c r="G412" s="37" t="s">
        <v>461</v>
      </c>
      <c r="H412" s="38">
        <v>296001</v>
      </c>
      <c r="I412" s="41" t="str">
        <f>IF(H412&lt;=0,"",VLOOKUP(H412,[4]COG!A:H,2,0))</f>
        <v>Herramientas, refacciones y accesorios</v>
      </c>
      <c r="J412" s="39">
        <v>1659</v>
      </c>
      <c r="K412" s="39">
        <v>1659</v>
      </c>
      <c r="L412" s="39"/>
      <c r="M412" s="39"/>
      <c r="N412" s="1">
        <f>Tabla5[[#This Row],[TRIMESTRE  I]]+Tabla5[[#This Row],[TRIMESTRE II]]+Tabla5[[#This Row],[TRIMESTRE III]]+Tabla5[[#This Row],[TRIMESTRE IV]]</f>
        <v>3318</v>
      </c>
      <c r="O412" s="39"/>
      <c r="P412" s="79"/>
      <c r="Q412" s="59"/>
    </row>
    <row r="413" spans="2:17" ht="22.5" x14ac:dyDescent="0.2">
      <c r="B413" s="46">
        <v>505061</v>
      </c>
      <c r="C413" s="47" t="s">
        <v>523</v>
      </c>
      <c r="D413" s="48">
        <v>530</v>
      </c>
      <c r="E413" s="43" t="str">
        <f>IF(D413&lt;=0,"",VLOOKUP(D413,[1]FF!A:D,2,0))</f>
        <v>PARTICIPACIONES Ramo 28</v>
      </c>
      <c r="F413" s="37" t="s">
        <v>542</v>
      </c>
      <c r="G413" s="37" t="s">
        <v>461</v>
      </c>
      <c r="H413" s="49">
        <v>211001</v>
      </c>
      <c r="I413" s="44" t="str">
        <f>IF(H413&lt;=0,"",VLOOKUP(H413,[4]COG!A:H,2,0))</f>
        <v>Material de oficina</v>
      </c>
      <c r="J413" s="39">
        <v>68652</v>
      </c>
      <c r="K413" s="39">
        <v>68652</v>
      </c>
      <c r="L413" s="50"/>
      <c r="M413" s="50"/>
      <c r="N413" s="1">
        <f>Tabla5[[#This Row],[TRIMESTRE  I]]+Tabla5[[#This Row],[TRIMESTRE II]]+Tabla5[[#This Row],[TRIMESTRE III]]+Tabla5[[#This Row],[TRIMESTRE IV]]</f>
        <v>137304</v>
      </c>
      <c r="O413" s="39"/>
      <c r="P413" s="39"/>
      <c r="Q413" s="59"/>
    </row>
    <row r="414" spans="2:17" ht="22.5" x14ac:dyDescent="0.2">
      <c r="B414" s="46">
        <v>505061</v>
      </c>
      <c r="C414" s="47" t="s">
        <v>523</v>
      </c>
      <c r="D414" s="48">
        <v>530</v>
      </c>
      <c r="E414" s="43" t="str">
        <f>IF(D414&lt;=0,"",VLOOKUP(D414,[1]FF!A:D,2,0))</f>
        <v>PARTICIPACIONES Ramo 28</v>
      </c>
      <c r="F414" s="37" t="s">
        <v>542</v>
      </c>
      <c r="G414" s="37" t="s">
        <v>461</v>
      </c>
      <c r="H414" s="49">
        <v>212001</v>
      </c>
      <c r="I414" s="44" t="str">
        <f>IF(H414&lt;=0,"",VLOOKUP(H414,[4]COG!A:H,2,0))</f>
        <v>Material y útiles de impresión</v>
      </c>
      <c r="J414" s="39">
        <v>1029</v>
      </c>
      <c r="K414" s="39">
        <v>1029</v>
      </c>
      <c r="L414" s="50"/>
      <c r="M414" s="50"/>
      <c r="N414" s="1">
        <f>Tabla5[[#This Row],[TRIMESTRE  I]]+Tabla5[[#This Row],[TRIMESTRE II]]+Tabla5[[#This Row],[TRIMESTRE III]]+Tabla5[[#This Row],[TRIMESTRE IV]]</f>
        <v>2058</v>
      </c>
      <c r="O414" s="39"/>
      <c r="P414" s="39"/>
      <c r="Q414" s="59"/>
    </row>
    <row r="415" spans="2:17" ht="27" x14ac:dyDescent="0.2">
      <c r="B415" s="46">
        <v>505061</v>
      </c>
      <c r="C415" s="47" t="s">
        <v>523</v>
      </c>
      <c r="D415" s="48">
        <v>530</v>
      </c>
      <c r="E415" s="43" t="str">
        <f>IF(D415&lt;=0,"",VLOOKUP(D415,[1]FF!A:D,2,0))</f>
        <v>PARTICIPACIONES Ramo 28</v>
      </c>
      <c r="F415" s="37" t="s">
        <v>542</v>
      </c>
      <c r="G415" s="37" t="s">
        <v>461</v>
      </c>
      <c r="H415" s="49">
        <v>214001</v>
      </c>
      <c r="I415" s="44" t="str">
        <f>IF(H415&lt;=0,"",VLOOKUP(H415,[4]COG!A:H,2,0))</f>
        <v>Materiales, útiles y equipos menores de tecnologías de la información y comunicaciones</v>
      </c>
      <c r="J415" s="39">
        <v>19125</v>
      </c>
      <c r="K415" s="39">
        <v>19125</v>
      </c>
      <c r="L415" s="50"/>
      <c r="M415" s="50"/>
      <c r="N415" s="1">
        <f>Tabla5[[#This Row],[TRIMESTRE  I]]+Tabla5[[#This Row],[TRIMESTRE II]]+Tabla5[[#This Row],[TRIMESTRE III]]+Tabla5[[#This Row],[TRIMESTRE IV]]</f>
        <v>38250</v>
      </c>
      <c r="O415" s="39"/>
      <c r="P415" s="39"/>
      <c r="Q415" s="59"/>
    </row>
    <row r="416" spans="2:17" ht="22.5" x14ac:dyDescent="0.2">
      <c r="B416" s="46">
        <v>505061</v>
      </c>
      <c r="C416" s="47" t="s">
        <v>523</v>
      </c>
      <c r="D416" s="48">
        <v>530</v>
      </c>
      <c r="E416" s="43" t="str">
        <f>IF(D416&lt;=0,"",VLOOKUP(D416,[1]FF!A:D,2,0))</f>
        <v>PARTICIPACIONES Ramo 28</v>
      </c>
      <c r="F416" s="37" t="s">
        <v>542</v>
      </c>
      <c r="G416" s="37" t="s">
        <v>461</v>
      </c>
      <c r="H416" s="49">
        <v>216001</v>
      </c>
      <c r="I416" s="44" t="str">
        <f>IF(H416&lt;=0,"",VLOOKUP(H416,[4]COG!A:H,2,0))</f>
        <v>Material de limpieza</v>
      </c>
      <c r="J416" s="39">
        <v>0</v>
      </c>
      <c r="K416" s="39">
        <v>0</v>
      </c>
      <c r="L416" s="50"/>
      <c r="M416" s="50"/>
      <c r="N416" s="1">
        <f>Tabla5[[#This Row],[TRIMESTRE  I]]+Tabla5[[#This Row],[TRIMESTRE II]]+Tabla5[[#This Row],[TRIMESTRE III]]+Tabla5[[#This Row],[TRIMESTRE IV]]</f>
        <v>0</v>
      </c>
      <c r="O416" s="39"/>
      <c r="P416" s="39"/>
      <c r="Q416" s="59"/>
    </row>
    <row r="417" spans="2:17" ht="22.5" x14ac:dyDescent="0.2">
      <c r="B417" s="46">
        <v>505061</v>
      </c>
      <c r="C417" s="47" t="s">
        <v>523</v>
      </c>
      <c r="D417" s="48">
        <v>530</v>
      </c>
      <c r="E417" s="43" t="str">
        <f>IF(D417&lt;=0,"",VLOOKUP(D417,[1]FF!A:D,2,0))</f>
        <v>PARTICIPACIONES Ramo 28</v>
      </c>
      <c r="F417" s="37" t="s">
        <v>542</v>
      </c>
      <c r="G417" s="37" t="s">
        <v>461</v>
      </c>
      <c r="H417" s="49">
        <v>221001</v>
      </c>
      <c r="I417" s="44" t="str">
        <f>IF(H417&lt;=0,"",VLOOKUP(H417,[4]COG!A:H,2,0))</f>
        <v>Alimentación de personas</v>
      </c>
      <c r="J417" s="39">
        <v>357</v>
      </c>
      <c r="K417" s="39">
        <v>357</v>
      </c>
      <c r="L417" s="50"/>
      <c r="M417" s="50"/>
      <c r="N417" s="1">
        <f>Tabla5[[#This Row],[TRIMESTRE  I]]+Tabla5[[#This Row],[TRIMESTRE II]]+Tabla5[[#This Row],[TRIMESTRE III]]+Tabla5[[#This Row],[TRIMESTRE IV]]</f>
        <v>714</v>
      </c>
      <c r="O417" s="39"/>
      <c r="P417" s="39"/>
      <c r="Q417" s="59"/>
    </row>
    <row r="418" spans="2:17" ht="22.5" x14ac:dyDescent="0.2">
      <c r="B418" s="46">
        <v>505061</v>
      </c>
      <c r="C418" s="47" t="s">
        <v>523</v>
      </c>
      <c r="D418" s="48">
        <v>530</v>
      </c>
      <c r="E418" s="43" t="str">
        <f>IF(D418&lt;=0,"",VLOOKUP(D418,[1]FF!A:D,2,0))</f>
        <v>PARTICIPACIONES Ramo 28</v>
      </c>
      <c r="F418" s="37" t="s">
        <v>542</v>
      </c>
      <c r="G418" s="37" t="s">
        <v>461</v>
      </c>
      <c r="H418" s="49">
        <v>246001</v>
      </c>
      <c r="I418" s="44" t="str">
        <f>IF(H418&lt;=0,"",VLOOKUP(H418,[4]COG!A:H,2,0))</f>
        <v>Material eléctrico</v>
      </c>
      <c r="J418" s="39">
        <v>11475</v>
      </c>
      <c r="K418" s="39">
        <v>11475</v>
      </c>
      <c r="L418" s="50"/>
      <c r="M418" s="50"/>
      <c r="N418" s="1">
        <f>Tabla5[[#This Row],[TRIMESTRE  I]]+Tabla5[[#This Row],[TRIMESTRE II]]+Tabla5[[#This Row],[TRIMESTRE III]]+Tabla5[[#This Row],[TRIMESTRE IV]]</f>
        <v>22950</v>
      </c>
      <c r="O418" s="39"/>
      <c r="P418" s="39"/>
      <c r="Q418" s="59"/>
    </row>
    <row r="419" spans="2:17" ht="22.5" x14ac:dyDescent="0.2">
      <c r="B419" s="46">
        <v>505061</v>
      </c>
      <c r="C419" s="47" t="s">
        <v>523</v>
      </c>
      <c r="D419" s="48">
        <v>530</v>
      </c>
      <c r="E419" s="43" t="str">
        <f>IF(D419&lt;=0,"",VLOOKUP(D419,[1]FF!A:D,2,0))</f>
        <v>PARTICIPACIONES Ramo 28</v>
      </c>
      <c r="F419" s="37" t="s">
        <v>542</v>
      </c>
      <c r="G419" s="37" t="s">
        <v>461</v>
      </c>
      <c r="H419" s="49">
        <v>271001</v>
      </c>
      <c r="I419" s="44" t="str">
        <f>IF(H419&lt;=0,"",VLOOKUP(H419,[4]COG!A:H,2,0))</f>
        <v>Ropa, vestuario y equipo</v>
      </c>
      <c r="J419" s="39">
        <v>516</v>
      </c>
      <c r="K419" s="39">
        <v>516</v>
      </c>
      <c r="L419" s="50"/>
      <c r="M419" s="50"/>
      <c r="N419" s="1">
        <f>Tabla5[[#This Row],[TRIMESTRE  I]]+Tabla5[[#This Row],[TRIMESTRE II]]+Tabla5[[#This Row],[TRIMESTRE III]]+Tabla5[[#This Row],[TRIMESTRE IV]]</f>
        <v>1032</v>
      </c>
      <c r="O419" s="39"/>
      <c r="P419" s="39"/>
      <c r="Q419" s="59"/>
    </row>
    <row r="420" spans="2:17" ht="22.5" x14ac:dyDescent="0.2">
      <c r="B420" s="46">
        <v>505061</v>
      </c>
      <c r="C420" s="47" t="s">
        <v>523</v>
      </c>
      <c r="D420" s="48">
        <v>530</v>
      </c>
      <c r="E420" s="43" t="str">
        <f>IF(D420&lt;=0,"",VLOOKUP(D420,[1]FF!A:D,2,0))</f>
        <v>PARTICIPACIONES Ramo 28</v>
      </c>
      <c r="F420" s="37" t="s">
        <v>542</v>
      </c>
      <c r="G420" s="37" t="s">
        <v>461</v>
      </c>
      <c r="H420" s="49">
        <v>294001</v>
      </c>
      <c r="I420" s="44" t="str">
        <f>IF(H420&lt;=0,"",VLOOKUP(H420,[4]COG!A:H,2,0))</f>
        <v>Dispositivos Internos y Externos de Equipo de Computo</v>
      </c>
      <c r="J420" s="39">
        <v>31875</v>
      </c>
      <c r="K420" s="39">
        <v>31875</v>
      </c>
      <c r="L420" s="50"/>
      <c r="M420" s="50"/>
      <c r="N420" s="1">
        <f>Tabla5[[#This Row],[TRIMESTRE  I]]+Tabla5[[#This Row],[TRIMESTRE II]]+Tabla5[[#This Row],[TRIMESTRE III]]+Tabla5[[#This Row],[TRIMESTRE IV]]</f>
        <v>63750</v>
      </c>
      <c r="O420" s="39"/>
      <c r="P420" s="39"/>
      <c r="Q420" s="59"/>
    </row>
    <row r="421" spans="2:17" ht="22.5" x14ac:dyDescent="0.2">
      <c r="B421" s="46">
        <v>505061</v>
      </c>
      <c r="C421" s="47" t="s">
        <v>523</v>
      </c>
      <c r="D421" s="48">
        <v>530</v>
      </c>
      <c r="E421" s="43" t="str">
        <f>IF(D421&lt;=0,"",VLOOKUP(D421,[1]FF!A:D,2,0))</f>
        <v>PARTICIPACIONES Ramo 28</v>
      </c>
      <c r="F421" s="37" t="s">
        <v>542</v>
      </c>
      <c r="G421" s="37" t="s">
        <v>461</v>
      </c>
      <c r="H421" s="49">
        <v>296001</v>
      </c>
      <c r="I421" s="44" t="str">
        <f>IF(H421&lt;=0,"",VLOOKUP(H421,[4]COG!A:H,2,0))</f>
        <v>Herramientas, refacciones y accesorios</v>
      </c>
      <c r="J421" s="39">
        <v>11853</v>
      </c>
      <c r="K421" s="39">
        <v>11853</v>
      </c>
      <c r="L421" s="50"/>
      <c r="M421" s="50"/>
      <c r="N421" s="1">
        <f>Tabla5[[#This Row],[TRIMESTRE  I]]+Tabla5[[#This Row],[TRIMESTRE II]]+Tabla5[[#This Row],[TRIMESTRE III]]+Tabla5[[#This Row],[TRIMESTRE IV]]</f>
        <v>23706</v>
      </c>
      <c r="O421" s="39"/>
      <c r="P421" s="39"/>
      <c r="Q421" s="59"/>
    </row>
    <row r="422" spans="2:17" x14ac:dyDescent="0.2">
      <c r="B422" s="46">
        <v>506062</v>
      </c>
      <c r="C422" s="47" t="s">
        <v>523</v>
      </c>
      <c r="D422" s="48">
        <v>530</v>
      </c>
      <c r="E422" s="43" t="str">
        <f>IF(D422&lt;=0,"",VLOOKUP(D422,[1]FF!A:D,2,0))</f>
        <v>PARTICIPACIONES Ramo 28</v>
      </c>
      <c r="F422" s="37" t="s">
        <v>543</v>
      </c>
      <c r="G422" s="37" t="s">
        <v>461</v>
      </c>
      <c r="H422" s="49">
        <v>211001</v>
      </c>
      <c r="I422" s="44" t="str">
        <f>IF(H422&lt;=0,"",VLOOKUP(H422,[4]COG!A:H,2,0))</f>
        <v>Material de oficina</v>
      </c>
      <c r="J422" s="39">
        <v>0</v>
      </c>
      <c r="K422" s="39">
        <v>0</v>
      </c>
      <c r="L422" s="50"/>
      <c r="M422" s="50"/>
      <c r="N422" s="1">
        <f>Tabla5[[#This Row],[TRIMESTRE  I]]+Tabla5[[#This Row],[TRIMESTRE II]]+Tabla5[[#This Row],[TRIMESTRE III]]+Tabla5[[#This Row],[TRIMESTRE IV]]</f>
        <v>0</v>
      </c>
      <c r="O422" s="39"/>
      <c r="P422" s="39"/>
      <c r="Q422" s="59"/>
    </row>
    <row r="423" spans="2:17" x14ac:dyDescent="0.2">
      <c r="B423" s="46">
        <v>506062</v>
      </c>
      <c r="C423" s="47" t="s">
        <v>523</v>
      </c>
      <c r="D423" s="48">
        <v>530</v>
      </c>
      <c r="E423" s="43" t="str">
        <f>IF(D423&lt;=0,"",VLOOKUP(D423,[1]FF!A:D,2,0))</f>
        <v>PARTICIPACIONES Ramo 28</v>
      </c>
      <c r="F423" s="37" t="s">
        <v>543</v>
      </c>
      <c r="G423" s="37" t="s">
        <v>461</v>
      </c>
      <c r="H423" s="49">
        <v>216001</v>
      </c>
      <c r="I423" s="44" t="str">
        <f>IF(H423&lt;=0,"",VLOOKUP(H423,[4]COG!A:H,2,0))</f>
        <v>Material de limpieza</v>
      </c>
      <c r="J423" s="39">
        <v>0</v>
      </c>
      <c r="K423" s="39">
        <v>0</v>
      </c>
      <c r="L423" s="50"/>
      <c r="M423" s="50"/>
      <c r="N423" s="1">
        <f>Tabla5[[#This Row],[TRIMESTRE  I]]+Tabla5[[#This Row],[TRIMESTRE II]]+Tabla5[[#This Row],[TRIMESTRE III]]+Tabla5[[#This Row],[TRIMESTRE IV]]</f>
        <v>0</v>
      </c>
      <c r="O423" s="39"/>
      <c r="P423" s="39"/>
      <c r="Q423" s="59"/>
    </row>
    <row r="424" spans="2:17" x14ac:dyDescent="0.2">
      <c r="B424" s="46">
        <v>506062</v>
      </c>
      <c r="C424" s="47" t="s">
        <v>523</v>
      </c>
      <c r="D424" s="48">
        <v>530</v>
      </c>
      <c r="E424" s="43" t="str">
        <f>IF(D424&lt;=0,"",VLOOKUP(D424,[1]FF!A:D,2,0))</f>
        <v>PARTICIPACIONES Ramo 28</v>
      </c>
      <c r="F424" s="37" t="s">
        <v>543</v>
      </c>
      <c r="G424" s="37" t="s">
        <v>461</v>
      </c>
      <c r="H424" s="49">
        <v>221001</v>
      </c>
      <c r="I424" s="44" t="str">
        <f>IF(H424&lt;=0,"",VLOOKUP(H424,[4]COG!A:H,2,0))</f>
        <v>Alimentación de personas</v>
      </c>
      <c r="J424" s="39">
        <v>0</v>
      </c>
      <c r="K424" s="39">
        <v>0</v>
      </c>
      <c r="L424" s="50"/>
      <c r="M424" s="50"/>
      <c r="N424" s="1">
        <f>Tabla5[[#This Row],[TRIMESTRE  I]]+Tabla5[[#This Row],[TRIMESTRE II]]+Tabla5[[#This Row],[TRIMESTRE III]]+Tabla5[[#This Row],[TRIMESTRE IV]]</f>
        <v>0</v>
      </c>
      <c r="O424" s="39"/>
      <c r="P424" s="39"/>
      <c r="Q424" s="59"/>
    </row>
    <row r="425" spans="2:17" x14ac:dyDescent="0.2">
      <c r="B425" s="46">
        <v>507065</v>
      </c>
      <c r="C425" s="47" t="s">
        <v>523</v>
      </c>
      <c r="D425" s="48">
        <v>530</v>
      </c>
      <c r="E425" s="43" t="str">
        <f>IF(D425&lt;=0,"",VLOOKUP(D425,[1]FF!A:D,2,0))</f>
        <v>PARTICIPACIONES Ramo 28</v>
      </c>
      <c r="F425" s="37" t="s">
        <v>544</v>
      </c>
      <c r="G425" s="37" t="s">
        <v>461</v>
      </c>
      <c r="H425" s="49">
        <v>211001</v>
      </c>
      <c r="I425" s="44" t="str">
        <f>IF(H425&lt;=0,"",VLOOKUP(H425,[4]COG!A:H,2,0))</f>
        <v>Material de oficina</v>
      </c>
      <c r="J425" s="39">
        <v>30339</v>
      </c>
      <c r="K425" s="39">
        <v>30339</v>
      </c>
      <c r="L425" s="50"/>
      <c r="M425" s="50"/>
      <c r="N425" s="1">
        <f>Tabla5[[#This Row],[TRIMESTRE  I]]+Tabla5[[#This Row],[TRIMESTRE II]]+Tabla5[[#This Row],[TRIMESTRE III]]+Tabla5[[#This Row],[TRIMESTRE IV]]</f>
        <v>60678</v>
      </c>
      <c r="O425" s="39"/>
      <c r="P425" s="39"/>
      <c r="Q425" s="59"/>
    </row>
    <row r="426" spans="2:17" x14ac:dyDescent="0.2">
      <c r="B426" s="46">
        <v>507065</v>
      </c>
      <c r="C426" s="47" t="s">
        <v>523</v>
      </c>
      <c r="D426" s="48">
        <v>530</v>
      </c>
      <c r="E426" s="43" t="str">
        <f>IF(D426&lt;=0,"",VLOOKUP(D426,[1]FF!A:D,2,0))</f>
        <v>PARTICIPACIONES Ramo 28</v>
      </c>
      <c r="F426" s="37" t="s">
        <v>544</v>
      </c>
      <c r="G426" s="37" t="s">
        <v>461</v>
      </c>
      <c r="H426" s="49">
        <v>212001</v>
      </c>
      <c r="I426" s="44" t="str">
        <f>IF(H426&lt;=0,"",VLOOKUP(H426,[4]COG!A:H,2,0))</f>
        <v>Material y útiles de impresión</v>
      </c>
      <c r="J426" s="39">
        <v>3069</v>
      </c>
      <c r="K426" s="39">
        <v>3069</v>
      </c>
      <c r="L426" s="50"/>
      <c r="M426" s="50"/>
      <c r="N426" s="1">
        <f>Tabla5[[#This Row],[TRIMESTRE  I]]+Tabla5[[#This Row],[TRIMESTRE II]]+Tabla5[[#This Row],[TRIMESTRE III]]+Tabla5[[#This Row],[TRIMESTRE IV]]</f>
        <v>6138</v>
      </c>
      <c r="O426" s="39"/>
      <c r="P426" s="39"/>
      <c r="Q426" s="59"/>
    </row>
    <row r="427" spans="2:17" ht="27" x14ac:dyDescent="0.2">
      <c r="B427" s="46">
        <v>507065</v>
      </c>
      <c r="C427" s="47" t="s">
        <v>523</v>
      </c>
      <c r="D427" s="48">
        <v>530</v>
      </c>
      <c r="E427" s="43" t="str">
        <f>IF(D427&lt;=0,"",VLOOKUP(D427,[1]FF!A:D,2,0))</f>
        <v>PARTICIPACIONES Ramo 28</v>
      </c>
      <c r="F427" s="37" t="s">
        <v>544</v>
      </c>
      <c r="G427" s="37" t="s">
        <v>461</v>
      </c>
      <c r="H427" s="49">
        <v>214001</v>
      </c>
      <c r="I427" s="44" t="str">
        <f>IF(H427&lt;=0,"",VLOOKUP(H427,[4]COG!A:H,2,0))</f>
        <v>Materiales, útiles y equipos menores de tecnologías de la información y comunicaciones</v>
      </c>
      <c r="J427" s="39">
        <v>82716</v>
      </c>
      <c r="K427" s="39">
        <v>82716</v>
      </c>
      <c r="L427" s="50"/>
      <c r="M427" s="50"/>
      <c r="N427" s="1">
        <f>Tabla5[[#This Row],[TRIMESTRE  I]]+Tabla5[[#This Row],[TRIMESTRE II]]+Tabla5[[#This Row],[TRIMESTRE III]]+Tabla5[[#This Row],[TRIMESTRE IV]]</f>
        <v>165432</v>
      </c>
      <c r="O427" s="39"/>
      <c r="P427" s="39"/>
      <c r="Q427" s="59"/>
    </row>
    <row r="428" spans="2:17" x14ac:dyDescent="0.2">
      <c r="B428" s="46">
        <v>507065</v>
      </c>
      <c r="C428" s="47" t="s">
        <v>523</v>
      </c>
      <c r="D428" s="48">
        <v>530</v>
      </c>
      <c r="E428" s="43" t="str">
        <f>IF(D428&lt;=0,"",VLOOKUP(D428,[1]FF!A:D,2,0))</f>
        <v>PARTICIPACIONES Ramo 28</v>
      </c>
      <c r="F428" s="37" t="s">
        <v>544</v>
      </c>
      <c r="G428" s="37" t="s">
        <v>461</v>
      </c>
      <c r="H428" s="49">
        <v>215001</v>
      </c>
      <c r="I428" s="44" t="str">
        <f>IF(H428&lt;=0,"",VLOOKUP(H428,[4]COG!A:H,2,0))</f>
        <v>Material didáctico</v>
      </c>
      <c r="J428" s="39">
        <v>0</v>
      </c>
      <c r="K428" s="39">
        <v>0</v>
      </c>
      <c r="L428" s="50"/>
      <c r="M428" s="50"/>
      <c r="N428" s="1">
        <f>Tabla5[[#This Row],[TRIMESTRE  I]]+Tabla5[[#This Row],[TRIMESTRE II]]+Tabla5[[#This Row],[TRIMESTRE III]]+Tabla5[[#This Row],[TRIMESTRE IV]]</f>
        <v>0</v>
      </c>
      <c r="O428" s="39"/>
      <c r="P428" s="39"/>
      <c r="Q428" s="59"/>
    </row>
    <row r="429" spans="2:17" x14ac:dyDescent="0.2">
      <c r="B429" s="46">
        <v>507065</v>
      </c>
      <c r="C429" s="47" t="s">
        <v>523</v>
      </c>
      <c r="D429" s="48">
        <v>530</v>
      </c>
      <c r="E429" s="43" t="str">
        <f>IF(D429&lt;=0,"",VLOOKUP(D429,[1]FF!A:D,2,0))</f>
        <v>PARTICIPACIONES Ramo 28</v>
      </c>
      <c r="F429" s="37" t="s">
        <v>544</v>
      </c>
      <c r="G429" s="37" t="s">
        <v>461</v>
      </c>
      <c r="H429" s="49">
        <v>216001</v>
      </c>
      <c r="I429" s="44" t="str">
        <f>IF(H429&lt;=0,"",VLOOKUP(H429,[4]COG!A:H,2,0))</f>
        <v>Material de limpieza</v>
      </c>
      <c r="J429" s="39">
        <v>762</v>
      </c>
      <c r="K429" s="39">
        <v>762</v>
      </c>
      <c r="L429" s="50"/>
      <c r="M429" s="50"/>
      <c r="N429" s="1">
        <f>Tabla5[[#This Row],[TRIMESTRE  I]]+Tabla5[[#This Row],[TRIMESTRE II]]+Tabla5[[#This Row],[TRIMESTRE III]]+Tabla5[[#This Row],[TRIMESTRE IV]]</f>
        <v>1524</v>
      </c>
      <c r="O429" s="39"/>
      <c r="P429" s="39"/>
      <c r="Q429" s="59"/>
    </row>
    <row r="430" spans="2:17" x14ac:dyDescent="0.2">
      <c r="B430" s="46">
        <v>507065</v>
      </c>
      <c r="C430" s="47" t="s">
        <v>523</v>
      </c>
      <c r="D430" s="48">
        <v>530</v>
      </c>
      <c r="E430" s="43" t="str">
        <f>IF(D430&lt;=0,"",VLOOKUP(D430,[1]FF!A:D,2,0))</f>
        <v>PARTICIPACIONES Ramo 28</v>
      </c>
      <c r="F430" s="37" t="s">
        <v>544</v>
      </c>
      <c r="G430" s="37" t="s">
        <v>461</v>
      </c>
      <c r="H430" s="49">
        <v>221001</v>
      </c>
      <c r="I430" s="44" t="str">
        <f>IF(H430&lt;=0,"",VLOOKUP(H430,[4]COG!A:H,2,0))</f>
        <v>Alimentación de personas</v>
      </c>
      <c r="J430" s="39">
        <v>0</v>
      </c>
      <c r="K430" s="39">
        <v>0</v>
      </c>
      <c r="L430" s="50"/>
      <c r="M430" s="50"/>
      <c r="N430" s="1">
        <f>Tabla5[[#This Row],[TRIMESTRE  I]]+Tabla5[[#This Row],[TRIMESTRE II]]+Tabla5[[#This Row],[TRIMESTRE III]]+Tabla5[[#This Row],[TRIMESTRE IV]]</f>
        <v>0</v>
      </c>
      <c r="O430" s="39"/>
      <c r="P430" s="39"/>
      <c r="Q430" s="59"/>
    </row>
    <row r="431" spans="2:17" x14ac:dyDescent="0.2">
      <c r="B431" s="46">
        <v>507065</v>
      </c>
      <c r="C431" s="47" t="s">
        <v>523</v>
      </c>
      <c r="D431" s="48">
        <v>530</v>
      </c>
      <c r="E431" s="43" t="str">
        <f>IF(D431&lt;=0,"",VLOOKUP(D431,[1]FF!A:D,2,0))</f>
        <v>PARTICIPACIONES Ramo 28</v>
      </c>
      <c r="F431" s="37" t="s">
        <v>544</v>
      </c>
      <c r="G431" s="37" t="s">
        <v>461</v>
      </c>
      <c r="H431" s="49">
        <v>246001</v>
      </c>
      <c r="I431" s="44" t="str">
        <f>IF(H431&lt;=0,"",VLOOKUP(H431,[4]COG!A:H,2,0))</f>
        <v>Material eléctrico</v>
      </c>
      <c r="J431" s="39">
        <v>339</v>
      </c>
      <c r="K431" s="39">
        <v>339</v>
      </c>
      <c r="L431" s="50"/>
      <c r="M431" s="50"/>
      <c r="N431" s="1">
        <f>Tabla5[[#This Row],[TRIMESTRE  I]]+Tabla5[[#This Row],[TRIMESTRE II]]+Tabla5[[#This Row],[TRIMESTRE III]]+Tabla5[[#This Row],[TRIMESTRE IV]]</f>
        <v>678</v>
      </c>
      <c r="O431" s="39"/>
      <c r="P431" s="39"/>
      <c r="Q431" s="59"/>
    </row>
    <row r="432" spans="2:17" x14ac:dyDescent="0.2">
      <c r="B432" s="46">
        <v>507065</v>
      </c>
      <c r="C432" s="47" t="s">
        <v>523</v>
      </c>
      <c r="D432" s="48">
        <v>530</v>
      </c>
      <c r="E432" s="43" t="str">
        <f>IF(D432&lt;=0,"",VLOOKUP(D432,[1]FF!A:D,2,0))</f>
        <v>PARTICIPACIONES Ramo 28</v>
      </c>
      <c r="F432" s="37" t="s">
        <v>544</v>
      </c>
      <c r="G432" s="37" t="s">
        <v>461</v>
      </c>
      <c r="H432" s="49">
        <v>271001</v>
      </c>
      <c r="I432" s="44" t="str">
        <f>IF(H432&lt;=0,"",VLOOKUP(H432,[4]COG!A:H,2,0))</f>
        <v>Ropa, vestuario y equipo</v>
      </c>
      <c r="J432" s="39">
        <v>2256</v>
      </c>
      <c r="K432" s="39">
        <v>2256</v>
      </c>
      <c r="L432" s="50"/>
      <c r="M432" s="50"/>
      <c r="N432" s="1">
        <f>Tabla5[[#This Row],[TRIMESTRE  I]]+Tabla5[[#This Row],[TRIMESTRE II]]+Tabla5[[#This Row],[TRIMESTRE III]]+Tabla5[[#This Row],[TRIMESTRE IV]]</f>
        <v>4512</v>
      </c>
      <c r="O432" s="39"/>
      <c r="P432" s="39"/>
      <c r="Q432" s="59"/>
    </row>
    <row r="433" spans="2:17" x14ac:dyDescent="0.2">
      <c r="B433" s="46">
        <v>507065</v>
      </c>
      <c r="C433" s="47" t="s">
        <v>523</v>
      </c>
      <c r="D433" s="48">
        <v>530</v>
      </c>
      <c r="E433" s="43" t="str">
        <f>IF(D433&lt;=0,"",VLOOKUP(D433,[1]FF!A:D,2,0))</f>
        <v>PARTICIPACIONES Ramo 28</v>
      </c>
      <c r="F433" s="37" t="s">
        <v>544</v>
      </c>
      <c r="G433" s="37" t="s">
        <v>461</v>
      </c>
      <c r="H433" s="49">
        <v>272002</v>
      </c>
      <c r="I433" s="44" t="str">
        <f>IF(H433&lt;=0,"",VLOOKUP(H433,[4]COG!A:H,2,0))</f>
        <v>Prendas de seguridad y protección personal</v>
      </c>
      <c r="J433" s="39">
        <v>0</v>
      </c>
      <c r="K433" s="39">
        <v>0</v>
      </c>
      <c r="L433" s="50"/>
      <c r="M433" s="50"/>
      <c r="N433" s="1">
        <f>Tabla5[[#This Row],[TRIMESTRE  I]]+Tabla5[[#This Row],[TRIMESTRE II]]+Tabla5[[#This Row],[TRIMESTRE III]]+Tabla5[[#This Row],[TRIMESTRE IV]]</f>
        <v>0</v>
      </c>
      <c r="O433" s="39"/>
      <c r="P433" s="39"/>
      <c r="Q433" s="59"/>
    </row>
    <row r="434" spans="2:17" ht="18" x14ac:dyDescent="0.2">
      <c r="B434" s="46">
        <v>507065</v>
      </c>
      <c r="C434" s="47" t="s">
        <v>523</v>
      </c>
      <c r="D434" s="48">
        <v>530</v>
      </c>
      <c r="E434" s="43" t="str">
        <f>IF(D434&lt;=0,"",VLOOKUP(D434,[1]FF!A:D,2,0))</f>
        <v>PARTICIPACIONES Ramo 28</v>
      </c>
      <c r="F434" s="37" t="s">
        <v>544</v>
      </c>
      <c r="G434" s="37" t="s">
        <v>461</v>
      </c>
      <c r="H434" s="49">
        <v>294001</v>
      </c>
      <c r="I434" s="44" t="str">
        <f>IF(H434&lt;=0,"",VLOOKUP(H434,[4]COG!A:H,2,0))</f>
        <v>Dispositivos Internos y Externos de Equipo de Computo</v>
      </c>
      <c r="J434" s="39">
        <v>0</v>
      </c>
      <c r="K434" s="39">
        <v>0</v>
      </c>
      <c r="L434" s="50"/>
      <c r="M434" s="50"/>
      <c r="N434" s="1">
        <f>Tabla5[[#This Row],[TRIMESTRE  I]]+Tabla5[[#This Row],[TRIMESTRE II]]+Tabla5[[#This Row],[TRIMESTRE III]]+Tabla5[[#This Row],[TRIMESTRE IV]]</f>
        <v>0</v>
      </c>
      <c r="O434" s="39"/>
      <c r="P434" s="39"/>
      <c r="Q434" s="59"/>
    </row>
    <row r="435" spans="2:17" x14ac:dyDescent="0.2">
      <c r="B435" s="46">
        <v>507065</v>
      </c>
      <c r="C435" s="47" t="s">
        <v>523</v>
      </c>
      <c r="D435" s="48">
        <v>530</v>
      </c>
      <c r="E435" s="43" t="str">
        <f>IF(D435&lt;=0,"",VLOOKUP(D435,[1]FF!A:D,2,0))</f>
        <v>PARTICIPACIONES Ramo 28</v>
      </c>
      <c r="F435" s="37" t="s">
        <v>544</v>
      </c>
      <c r="G435" s="37" t="s">
        <v>461</v>
      </c>
      <c r="H435" s="49">
        <v>296001</v>
      </c>
      <c r="I435" s="44" t="str">
        <f>IF(H435&lt;=0,"",VLOOKUP(H435,[4]COG!A:H,2,0))</f>
        <v>Herramientas, refacciones y accesorios</v>
      </c>
      <c r="J435" s="39">
        <v>13695</v>
      </c>
      <c r="K435" s="39">
        <v>13695</v>
      </c>
      <c r="L435" s="50"/>
      <c r="M435" s="50"/>
      <c r="N435" s="1">
        <f>Tabla5[[#This Row],[TRIMESTRE  I]]+Tabla5[[#This Row],[TRIMESTRE II]]+Tabla5[[#This Row],[TRIMESTRE III]]+Tabla5[[#This Row],[TRIMESTRE IV]]</f>
        <v>27390</v>
      </c>
      <c r="O435" s="39"/>
      <c r="P435" s="39"/>
      <c r="Q435" s="59"/>
    </row>
    <row r="436" spans="2:17" ht="33.75" x14ac:dyDescent="0.2">
      <c r="B436" s="46">
        <v>508066</v>
      </c>
      <c r="C436" s="47" t="s">
        <v>523</v>
      </c>
      <c r="D436" s="48">
        <v>530</v>
      </c>
      <c r="E436" s="43" t="str">
        <f>IF(D436&lt;=0,"",VLOOKUP(D436,[1]FF!A:D,2,0))</f>
        <v>PARTICIPACIONES Ramo 28</v>
      </c>
      <c r="F436" s="37" t="s">
        <v>545</v>
      </c>
      <c r="G436" s="37" t="s">
        <v>461</v>
      </c>
      <c r="H436" s="49">
        <v>211001</v>
      </c>
      <c r="I436" s="44" t="str">
        <f>IF(H436&lt;=0,"",VLOOKUP(H436,[4]COG!A:H,2,0))</f>
        <v>Material de oficina</v>
      </c>
      <c r="J436" s="39">
        <v>10070</v>
      </c>
      <c r="K436" s="39">
        <v>10041</v>
      </c>
      <c r="L436" s="50"/>
      <c r="M436" s="50"/>
      <c r="N436" s="1">
        <f>Tabla5[[#This Row],[TRIMESTRE  I]]+Tabla5[[#This Row],[TRIMESTRE II]]+Tabla5[[#This Row],[TRIMESTRE III]]+Tabla5[[#This Row],[TRIMESTRE IV]]</f>
        <v>20111</v>
      </c>
      <c r="O436" s="39"/>
      <c r="P436" s="39"/>
      <c r="Q436" s="59"/>
    </row>
    <row r="437" spans="2:17" ht="33.75" x14ac:dyDescent="0.2">
      <c r="B437" s="46">
        <v>508066</v>
      </c>
      <c r="C437" s="47" t="s">
        <v>523</v>
      </c>
      <c r="D437" s="48">
        <v>530</v>
      </c>
      <c r="E437" s="43" t="str">
        <f>IF(D437&lt;=0,"",VLOOKUP(D437,[1]FF!A:D,2,0))</f>
        <v>PARTICIPACIONES Ramo 28</v>
      </c>
      <c r="F437" s="37" t="s">
        <v>545</v>
      </c>
      <c r="G437" s="37" t="s">
        <v>461</v>
      </c>
      <c r="H437" s="49">
        <v>212001</v>
      </c>
      <c r="I437" s="44" t="str">
        <f>IF(H437&lt;=0,"",VLOOKUP(H437,[4]COG!A:H,2,0))</f>
        <v>Material y útiles de impresión</v>
      </c>
      <c r="J437" s="39">
        <v>6906</v>
      </c>
      <c r="K437" s="39">
        <v>6907</v>
      </c>
      <c r="L437" s="50"/>
      <c r="M437" s="50"/>
      <c r="N437" s="1">
        <f>Tabla5[[#This Row],[TRIMESTRE  I]]+Tabla5[[#This Row],[TRIMESTRE II]]+Tabla5[[#This Row],[TRIMESTRE III]]+Tabla5[[#This Row],[TRIMESTRE IV]]</f>
        <v>13813</v>
      </c>
      <c r="O437" s="39"/>
      <c r="P437" s="39"/>
      <c r="Q437" s="59"/>
    </row>
    <row r="438" spans="2:17" ht="33.75" x14ac:dyDescent="0.2">
      <c r="B438" s="46">
        <v>508066</v>
      </c>
      <c r="C438" s="47" t="s">
        <v>523</v>
      </c>
      <c r="D438" s="48">
        <v>530</v>
      </c>
      <c r="E438" s="43" t="str">
        <f>IF(D438&lt;=0,"",VLOOKUP(D438,[1]FF!A:D,2,0))</f>
        <v>PARTICIPACIONES Ramo 28</v>
      </c>
      <c r="F438" s="37" t="s">
        <v>545</v>
      </c>
      <c r="G438" s="37" t="s">
        <v>461</v>
      </c>
      <c r="H438" s="49">
        <v>214001</v>
      </c>
      <c r="I438" s="44" t="str">
        <f>IF(H438&lt;=0,"",VLOOKUP(H438,[4]COG!A:H,2,0))</f>
        <v>Materiales, útiles y equipos menores de tecnologías de la información y comunicaciones</v>
      </c>
      <c r="J438" s="39">
        <v>10710</v>
      </c>
      <c r="K438" s="39">
        <v>10710</v>
      </c>
      <c r="L438" s="50"/>
      <c r="M438" s="50"/>
      <c r="N438" s="1">
        <f>Tabla5[[#This Row],[TRIMESTRE  I]]+Tabla5[[#This Row],[TRIMESTRE II]]+Tabla5[[#This Row],[TRIMESTRE III]]+Tabla5[[#This Row],[TRIMESTRE IV]]</f>
        <v>21420</v>
      </c>
      <c r="O438" s="39"/>
      <c r="P438" s="39"/>
      <c r="Q438" s="59"/>
    </row>
    <row r="439" spans="2:17" ht="33.75" x14ac:dyDescent="0.2">
      <c r="B439" s="46">
        <v>508066</v>
      </c>
      <c r="C439" s="47" t="s">
        <v>523</v>
      </c>
      <c r="D439" s="48">
        <v>530</v>
      </c>
      <c r="E439" s="43" t="str">
        <f>IF(D439&lt;=0,"",VLOOKUP(D439,[1]FF!A:D,2,0))</f>
        <v>PARTICIPACIONES Ramo 28</v>
      </c>
      <c r="F439" s="37" t="s">
        <v>545</v>
      </c>
      <c r="G439" s="37" t="s">
        <v>461</v>
      </c>
      <c r="H439" s="49">
        <v>216001</v>
      </c>
      <c r="I439" s="44" t="str">
        <f>IF(H439&lt;=0,"",VLOOKUP(H439,[4]COG!A:H,2,0))</f>
        <v>Material de limpieza</v>
      </c>
      <c r="J439" s="39">
        <v>3936</v>
      </c>
      <c r="K439" s="39">
        <v>3936</v>
      </c>
      <c r="L439" s="50"/>
      <c r="M439" s="50"/>
      <c r="N439" s="1">
        <f>Tabla5[[#This Row],[TRIMESTRE  I]]+Tabla5[[#This Row],[TRIMESTRE II]]+Tabla5[[#This Row],[TRIMESTRE III]]+Tabla5[[#This Row],[TRIMESTRE IV]]</f>
        <v>7872</v>
      </c>
      <c r="O439" s="39"/>
      <c r="P439" s="39"/>
      <c r="Q439" s="59"/>
    </row>
    <row r="440" spans="2:17" ht="33.75" x14ac:dyDescent="0.2">
      <c r="B440" s="46">
        <v>508066</v>
      </c>
      <c r="C440" s="47" t="s">
        <v>523</v>
      </c>
      <c r="D440" s="48">
        <v>530</v>
      </c>
      <c r="E440" s="43" t="str">
        <f>IF(D440&lt;=0,"",VLOOKUP(D440,[1]FF!A:D,2,0))</f>
        <v>PARTICIPACIONES Ramo 28</v>
      </c>
      <c r="F440" s="37" t="s">
        <v>545</v>
      </c>
      <c r="G440" s="37" t="s">
        <v>461</v>
      </c>
      <c r="H440" s="49">
        <v>221001</v>
      </c>
      <c r="I440" s="44" t="str">
        <f>IF(H440&lt;=0,"",VLOOKUP(H440,[4]COG!A:H,2,0))</f>
        <v>Alimentación de personas</v>
      </c>
      <c r="J440" s="39">
        <v>0</v>
      </c>
      <c r="K440" s="39">
        <v>0</v>
      </c>
      <c r="L440" s="50"/>
      <c r="M440" s="50"/>
      <c r="N440" s="1">
        <f>Tabla5[[#This Row],[TRIMESTRE  I]]+Tabla5[[#This Row],[TRIMESTRE II]]+Tabla5[[#This Row],[TRIMESTRE III]]+Tabla5[[#This Row],[TRIMESTRE IV]]</f>
        <v>0</v>
      </c>
      <c r="O440" s="39"/>
      <c r="P440" s="39"/>
      <c r="Q440" s="59"/>
    </row>
    <row r="441" spans="2:17" ht="33.75" x14ac:dyDescent="0.2">
      <c r="B441" s="46">
        <v>508066</v>
      </c>
      <c r="C441" s="47" t="s">
        <v>523</v>
      </c>
      <c r="D441" s="48">
        <v>530</v>
      </c>
      <c r="E441" s="43" t="str">
        <f>IF(D441&lt;=0,"",VLOOKUP(D441,[1]FF!A:D,2,0))</f>
        <v>PARTICIPACIONES Ramo 28</v>
      </c>
      <c r="F441" s="37" t="s">
        <v>545</v>
      </c>
      <c r="G441" s="37" t="s">
        <v>461</v>
      </c>
      <c r="H441" s="49">
        <v>246001</v>
      </c>
      <c r="I441" s="44" t="str">
        <f>IF(H441&lt;=0,"",VLOOKUP(H441,[4]COG!A:H,2,0))</f>
        <v>Material eléctrico</v>
      </c>
      <c r="J441" s="39">
        <v>402</v>
      </c>
      <c r="K441" s="39">
        <v>402</v>
      </c>
      <c r="L441" s="50"/>
      <c r="M441" s="50"/>
      <c r="N441" s="1">
        <f>Tabla5[[#This Row],[TRIMESTRE  I]]+Tabla5[[#This Row],[TRIMESTRE II]]+Tabla5[[#This Row],[TRIMESTRE III]]+Tabla5[[#This Row],[TRIMESTRE IV]]</f>
        <v>804</v>
      </c>
      <c r="O441" s="39"/>
      <c r="P441" s="39"/>
      <c r="Q441" s="59"/>
    </row>
    <row r="442" spans="2:17" ht="33.75" x14ac:dyDescent="0.2">
      <c r="B442" s="46">
        <v>508066</v>
      </c>
      <c r="C442" s="47" t="s">
        <v>523</v>
      </c>
      <c r="D442" s="48">
        <v>530</v>
      </c>
      <c r="E442" s="43" t="str">
        <f>IF(D442&lt;=0,"",VLOOKUP(D442,[1]FF!A:D,2,0))</f>
        <v>PARTICIPACIONES Ramo 28</v>
      </c>
      <c r="F442" s="37" t="s">
        <v>545</v>
      </c>
      <c r="G442" s="37" t="s">
        <v>461</v>
      </c>
      <c r="H442" s="49">
        <v>249002</v>
      </c>
      <c r="I442" s="44" t="str">
        <f>IF(H442&lt;=0,"",VLOOKUP(H442,[4]COG!A:H,2,0))</f>
        <v>Otros materiales de construcción y reparación</v>
      </c>
      <c r="J442" s="39">
        <v>0</v>
      </c>
      <c r="K442" s="39">
        <v>0</v>
      </c>
      <c r="L442" s="50"/>
      <c r="M442" s="50"/>
      <c r="N442" s="1">
        <f>Tabla5[[#This Row],[TRIMESTRE  I]]+Tabla5[[#This Row],[TRIMESTRE II]]+Tabla5[[#This Row],[TRIMESTRE III]]+Tabla5[[#This Row],[TRIMESTRE IV]]</f>
        <v>0</v>
      </c>
      <c r="O442" s="39"/>
      <c r="P442" s="39"/>
      <c r="Q442" s="59"/>
    </row>
    <row r="443" spans="2:17" ht="33.75" x14ac:dyDescent="0.2">
      <c r="B443" s="46">
        <v>508066</v>
      </c>
      <c r="C443" s="47" t="s">
        <v>523</v>
      </c>
      <c r="D443" s="48">
        <v>530</v>
      </c>
      <c r="E443" s="43" t="str">
        <f>IF(D443&lt;=0,"",VLOOKUP(D443,[1]FF!A:D,2,0))</f>
        <v>PARTICIPACIONES Ramo 28</v>
      </c>
      <c r="F443" s="37" t="s">
        <v>545</v>
      </c>
      <c r="G443" s="37" t="s">
        <v>461</v>
      </c>
      <c r="H443" s="49">
        <v>261001</v>
      </c>
      <c r="I443" s="44" t="str">
        <f>IF(H443&lt;=0,"",VLOOKUP(H443,[4]COG!A:H,2,0))</f>
        <v>Combustibles</v>
      </c>
      <c r="J443" s="39">
        <v>5922</v>
      </c>
      <c r="K443" s="39">
        <v>5922</v>
      </c>
      <c r="L443" s="50"/>
      <c r="M443" s="50"/>
      <c r="N443" s="1">
        <f>Tabla5[[#This Row],[TRIMESTRE  I]]+Tabla5[[#This Row],[TRIMESTRE II]]+Tabla5[[#This Row],[TRIMESTRE III]]+Tabla5[[#This Row],[TRIMESTRE IV]]</f>
        <v>11844</v>
      </c>
      <c r="O443" s="39"/>
      <c r="P443" s="39"/>
      <c r="Q443" s="59"/>
    </row>
    <row r="444" spans="2:17" ht="33.75" x14ac:dyDescent="0.2">
      <c r="B444" s="46">
        <v>508066</v>
      </c>
      <c r="C444" s="47" t="s">
        <v>523</v>
      </c>
      <c r="D444" s="48">
        <v>530</v>
      </c>
      <c r="E444" s="43" t="str">
        <f>IF(D444&lt;=0,"",VLOOKUP(D444,[1]FF!A:D,2,0))</f>
        <v>PARTICIPACIONES Ramo 28</v>
      </c>
      <c r="F444" s="37" t="s">
        <v>545</v>
      </c>
      <c r="G444" s="37" t="s">
        <v>461</v>
      </c>
      <c r="H444" s="49">
        <v>261002</v>
      </c>
      <c r="I444" s="44" t="str">
        <f>IF(H444&lt;=0,"",VLOOKUP(H444,[4]COG!A:H,2,0))</f>
        <v>Lubricantes y aditivos</v>
      </c>
      <c r="J444" s="39">
        <v>3657</v>
      </c>
      <c r="K444" s="39">
        <v>3657</v>
      </c>
      <c r="L444" s="50"/>
      <c r="M444" s="50"/>
      <c r="N444" s="1">
        <f>Tabla5[[#This Row],[TRIMESTRE  I]]+Tabla5[[#This Row],[TRIMESTRE II]]+Tabla5[[#This Row],[TRIMESTRE III]]+Tabla5[[#This Row],[TRIMESTRE IV]]</f>
        <v>7314</v>
      </c>
      <c r="O444" s="39"/>
      <c r="P444" s="39"/>
      <c r="Q444" s="59"/>
    </row>
    <row r="445" spans="2:17" ht="33.75" x14ac:dyDescent="0.2">
      <c r="B445" s="46">
        <v>508066</v>
      </c>
      <c r="C445" s="47" t="s">
        <v>523</v>
      </c>
      <c r="D445" s="48">
        <v>530</v>
      </c>
      <c r="E445" s="43" t="str">
        <f>IF(D445&lt;=0,"",VLOOKUP(D445,[1]FF!A:D,2,0))</f>
        <v>PARTICIPACIONES Ramo 28</v>
      </c>
      <c r="F445" s="37" t="s">
        <v>545</v>
      </c>
      <c r="G445" s="37" t="s">
        <v>461</v>
      </c>
      <c r="H445" s="49">
        <v>271001</v>
      </c>
      <c r="I445" s="44" t="str">
        <f>IF(H445&lt;=0,"",VLOOKUP(H445,[4]COG!A:H,2,0))</f>
        <v>Ropa, vestuario y equipo</v>
      </c>
      <c r="J445" s="39">
        <v>0</v>
      </c>
      <c r="K445" s="39">
        <v>0</v>
      </c>
      <c r="L445" s="50"/>
      <c r="M445" s="50"/>
      <c r="N445" s="1">
        <f>Tabla5[[#This Row],[TRIMESTRE  I]]+Tabla5[[#This Row],[TRIMESTRE II]]+Tabla5[[#This Row],[TRIMESTRE III]]+Tabla5[[#This Row],[TRIMESTRE IV]]</f>
        <v>0</v>
      </c>
      <c r="O445" s="39"/>
      <c r="P445" s="39"/>
      <c r="Q445" s="59"/>
    </row>
    <row r="446" spans="2:17" ht="33.75" x14ac:dyDescent="0.2">
      <c r="B446" s="46">
        <v>508066</v>
      </c>
      <c r="C446" s="47" t="s">
        <v>523</v>
      </c>
      <c r="D446" s="48">
        <v>530</v>
      </c>
      <c r="E446" s="43" t="str">
        <f>IF(D446&lt;=0,"",VLOOKUP(D446,[1]FF!A:D,2,0))</f>
        <v>PARTICIPACIONES Ramo 28</v>
      </c>
      <c r="F446" s="37" t="s">
        <v>545</v>
      </c>
      <c r="G446" s="37" t="s">
        <v>461</v>
      </c>
      <c r="H446" s="49">
        <v>294001</v>
      </c>
      <c r="I446" s="44" t="str">
        <f>IF(H446&lt;=0,"",VLOOKUP(H446,[4]COG!A:H,2,0))</f>
        <v>Dispositivos Internos y Externos de Equipo de Computo</v>
      </c>
      <c r="J446" s="39">
        <v>3597</v>
      </c>
      <c r="K446" s="39">
        <v>3597</v>
      </c>
      <c r="L446" s="50"/>
      <c r="M446" s="50"/>
      <c r="N446" s="1">
        <f>Tabla5[[#This Row],[TRIMESTRE  I]]+Tabla5[[#This Row],[TRIMESTRE II]]+Tabla5[[#This Row],[TRIMESTRE III]]+Tabla5[[#This Row],[TRIMESTRE IV]]</f>
        <v>7194</v>
      </c>
      <c r="O446" s="39"/>
      <c r="P446" s="39"/>
      <c r="Q446" s="59"/>
    </row>
    <row r="447" spans="2:17" ht="33.75" x14ac:dyDescent="0.2">
      <c r="B447" s="46">
        <v>508066</v>
      </c>
      <c r="C447" s="47" t="s">
        <v>523</v>
      </c>
      <c r="D447" s="48">
        <v>530</v>
      </c>
      <c r="E447" s="43" t="str">
        <f>IF(D447&lt;=0,"",VLOOKUP(D447,[1]FF!A:D,2,0))</f>
        <v>PARTICIPACIONES Ramo 28</v>
      </c>
      <c r="F447" s="37" t="s">
        <v>545</v>
      </c>
      <c r="G447" s="37" t="s">
        <v>461</v>
      </c>
      <c r="H447" s="49">
        <v>296001</v>
      </c>
      <c r="I447" s="44" t="str">
        <f>IF(H447&lt;=0,"",VLOOKUP(H447,[4]COG!A:H,2,0))</f>
        <v>Herramientas, refacciones y accesorios</v>
      </c>
      <c r="J447" s="39">
        <v>10281</v>
      </c>
      <c r="K447" s="39">
        <v>10281</v>
      </c>
      <c r="L447" s="50"/>
      <c r="M447" s="50"/>
      <c r="N447" s="1">
        <f>Tabla5[[#This Row],[TRIMESTRE  I]]+Tabla5[[#This Row],[TRIMESTRE II]]+Tabla5[[#This Row],[TRIMESTRE III]]+Tabla5[[#This Row],[TRIMESTRE IV]]</f>
        <v>20562</v>
      </c>
      <c r="O447" s="39"/>
      <c r="P447" s="39"/>
      <c r="Q447" s="59"/>
    </row>
    <row r="448" spans="2:17" ht="33.75" x14ac:dyDescent="0.2">
      <c r="B448" s="46">
        <v>508066</v>
      </c>
      <c r="C448" s="47" t="s">
        <v>523</v>
      </c>
      <c r="D448" s="48">
        <v>530</v>
      </c>
      <c r="E448" s="43" t="str">
        <f>IF(D448&lt;=0,"",VLOOKUP(D448,[1]FF!A:D,2,0))</f>
        <v>PARTICIPACIONES Ramo 28</v>
      </c>
      <c r="F448" s="37" t="s">
        <v>545</v>
      </c>
      <c r="G448" s="37" t="s">
        <v>461</v>
      </c>
      <c r="H448" s="49">
        <v>299001</v>
      </c>
      <c r="I448" s="44" t="str">
        <f>IF(H448&lt;=0,"",VLOOKUP(H448,[4]COG!A:H,2,0))</f>
        <v>Refacciones y accesorios menores otros bienes muebles</v>
      </c>
      <c r="J448" s="39">
        <v>0</v>
      </c>
      <c r="K448" s="39">
        <v>0</v>
      </c>
      <c r="L448" s="50"/>
      <c r="M448" s="50"/>
      <c r="N448" s="1">
        <f>Tabla5[[#This Row],[TRIMESTRE  I]]+Tabla5[[#This Row],[TRIMESTRE II]]+Tabla5[[#This Row],[TRIMESTRE III]]+Tabla5[[#This Row],[TRIMESTRE IV]]</f>
        <v>0</v>
      </c>
      <c r="O448" s="39"/>
      <c r="P448" s="39"/>
      <c r="Q448" s="59"/>
    </row>
    <row r="449" spans="2:17" ht="22.5" x14ac:dyDescent="0.2">
      <c r="B449" s="46">
        <v>509067</v>
      </c>
      <c r="C449" s="47" t="s">
        <v>523</v>
      </c>
      <c r="D449" s="48">
        <v>530</v>
      </c>
      <c r="E449" s="43" t="str">
        <f>IF(D449&lt;=0,"",VLOOKUP(D449,[1]FF!A:D,2,0))</f>
        <v>PARTICIPACIONES Ramo 28</v>
      </c>
      <c r="F449" s="37" t="s">
        <v>546</v>
      </c>
      <c r="G449" s="37" t="s">
        <v>461</v>
      </c>
      <c r="H449" s="49">
        <v>211001</v>
      </c>
      <c r="I449" s="44" t="str">
        <f>IF(H449&lt;=0,"",VLOOKUP(H449,[4]COG!A:H,2,0))</f>
        <v>Material de oficina</v>
      </c>
      <c r="J449" s="39">
        <v>2123</v>
      </c>
      <c r="K449" s="39">
        <v>2008</v>
      </c>
      <c r="L449" s="50"/>
      <c r="M449" s="50"/>
      <c r="N449" s="1">
        <f>Tabla5[[#This Row],[TRIMESTRE  I]]+Tabla5[[#This Row],[TRIMESTRE II]]+Tabla5[[#This Row],[TRIMESTRE III]]+Tabla5[[#This Row],[TRIMESTRE IV]]</f>
        <v>4131</v>
      </c>
      <c r="O449" s="39"/>
      <c r="P449" s="39"/>
      <c r="Q449" s="59"/>
    </row>
    <row r="450" spans="2:17" ht="22.5" x14ac:dyDescent="0.2">
      <c r="B450" s="46">
        <v>509067</v>
      </c>
      <c r="C450" s="47" t="s">
        <v>523</v>
      </c>
      <c r="D450" s="48">
        <v>530</v>
      </c>
      <c r="E450" s="43" t="str">
        <f>IF(D450&lt;=0,"",VLOOKUP(D450,[1]FF!A:D,2,0))</f>
        <v>PARTICIPACIONES Ramo 28</v>
      </c>
      <c r="F450" s="37" t="s">
        <v>546</v>
      </c>
      <c r="G450" s="37" t="s">
        <v>461</v>
      </c>
      <c r="H450" s="49">
        <v>212001</v>
      </c>
      <c r="I450" s="44" t="str">
        <f>IF(H450&lt;=0,"",VLOOKUP(H450,[4]COG!A:H,2,0))</f>
        <v>Material y útiles de impresión</v>
      </c>
      <c r="J450" s="39">
        <v>2523</v>
      </c>
      <c r="K450" s="39">
        <v>2523</v>
      </c>
      <c r="L450" s="50"/>
      <c r="M450" s="50"/>
      <c r="N450" s="1">
        <f>Tabla5[[#This Row],[TRIMESTRE  I]]+Tabla5[[#This Row],[TRIMESTRE II]]+Tabla5[[#This Row],[TRIMESTRE III]]+Tabla5[[#This Row],[TRIMESTRE IV]]</f>
        <v>5046</v>
      </c>
      <c r="O450" s="39"/>
      <c r="P450" s="39"/>
      <c r="Q450" s="59"/>
    </row>
    <row r="451" spans="2:17" ht="27" x14ac:dyDescent="0.2">
      <c r="B451" s="46">
        <v>509067</v>
      </c>
      <c r="C451" s="47" t="s">
        <v>523</v>
      </c>
      <c r="D451" s="48">
        <v>530</v>
      </c>
      <c r="E451" s="43" t="str">
        <f>IF(D451&lt;=0,"",VLOOKUP(D451,[1]FF!A:D,2,0))</f>
        <v>PARTICIPACIONES Ramo 28</v>
      </c>
      <c r="F451" s="37" t="s">
        <v>546</v>
      </c>
      <c r="G451" s="37" t="s">
        <v>461</v>
      </c>
      <c r="H451" s="49">
        <v>214001</v>
      </c>
      <c r="I451" s="44" t="str">
        <f>IF(H451&lt;=0,"",VLOOKUP(H451,[4]COG!A:H,2,0))</f>
        <v>Materiales, útiles y equipos menores de tecnologías de la información y comunicaciones</v>
      </c>
      <c r="J451" s="39">
        <v>0</v>
      </c>
      <c r="K451" s="39"/>
      <c r="L451" s="50"/>
      <c r="M451" s="50"/>
      <c r="N451" s="1">
        <f>Tabla5[[#This Row],[TRIMESTRE  I]]+Tabla5[[#This Row],[TRIMESTRE II]]+Tabla5[[#This Row],[TRIMESTRE III]]+Tabla5[[#This Row],[TRIMESTRE IV]]</f>
        <v>0</v>
      </c>
      <c r="O451" s="39"/>
      <c r="P451" s="39"/>
      <c r="Q451" s="59"/>
    </row>
    <row r="452" spans="2:17" ht="22.5" x14ac:dyDescent="0.2">
      <c r="B452" s="46">
        <v>509067</v>
      </c>
      <c r="C452" s="47" t="s">
        <v>523</v>
      </c>
      <c r="D452" s="48">
        <v>530</v>
      </c>
      <c r="E452" s="43" t="str">
        <f>IF(D452&lt;=0,"",VLOOKUP(D452,[1]FF!A:D,2,0))</f>
        <v>PARTICIPACIONES Ramo 28</v>
      </c>
      <c r="F452" s="37" t="s">
        <v>546</v>
      </c>
      <c r="G452" s="37" t="s">
        <v>461</v>
      </c>
      <c r="H452" s="49">
        <v>215001</v>
      </c>
      <c r="I452" s="44" t="str">
        <f>IF(H452&lt;=0,"",VLOOKUP(H452,[4]COG!A:H,2,0))</f>
        <v>Material didáctico</v>
      </c>
      <c r="J452" s="39">
        <v>861</v>
      </c>
      <c r="K452" s="39">
        <v>861</v>
      </c>
      <c r="L452" s="50"/>
      <c r="M452" s="50"/>
      <c r="N452" s="1">
        <f>Tabla5[[#This Row],[TRIMESTRE  I]]+Tabla5[[#This Row],[TRIMESTRE II]]+Tabla5[[#This Row],[TRIMESTRE III]]+Tabla5[[#This Row],[TRIMESTRE IV]]</f>
        <v>1722</v>
      </c>
      <c r="O452" s="39"/>
      <c r="P452" s="39"/>
      <c r="Q452" s="59"/>
    </row>
    <row r="453" spans="2:17" ht="22.5" x14ac:dyDescent="0.2">
      <c r="B453" s="46">
        <v>509067</v>
      </c>
      <c r="C453" s="47" t="s">
        <v>523</v>
      </c>
      <c r="D453" s="48">
        <v>530</v>
      </c>
      <c r="E453" s="43" t="str">
        <f>IF(D453&lt;=0,"",VLOOKUP(D453,[1]FF!A:D,2,0))</f>
        <v>PARTICIPACIONES Ramo 28</v>
      </c>
      <c r="F453" s="37" t="s">
        <v>546</v>
      </c>
      <c r="G453" s="37" t="s">
        <v>461</v>
      </c>
      <c r="H453" s="49">
        <v>216001</v>
      </c>
      <c r="I453" s="44" t="str">
        <f>IF(H453&lt;=0,"",VLOOKUP(H453,[4]COG!A:H,2,0))</f>
        <v>Material de limpieza</v>
      </c>
      <c r="J453" s="39">
        <v>564</v>
      </c>
      <c r="K453" s="39">
        <v>564</v>
      </c>
      <c r="L453" s="50"/>
      <c r="M453" s="50"/>
      <c r="N453" s="1">
        <f>Tabla5[[#This Row],[TRIMESTRE  I]]+Tabla5[[#This Row],[TRIMESTRE II]]+Tabla5[[#This Row],[TRIMESTRE III]]+Tabla5[[#This Row],[TRIMESTRE IV]]</f>
        <v>1128</v>
      </c>
      <c r="O453" s="39"/>
      <c r="P453" s="39"/>
      <c r="Q453" s="59"/>
    </row>
    <row r="454" spans="2:17" ht="22.5" x14ac:dyDescent="0.2">
      <c r="B454" s="46">
        <v>509067</v>
      </c>
      <c r="C454" s="47" t="s">
        <v>523</v>
      </c>
      <c r="D454" s="48">
        <v>530</v>
      </c>
      <c r="E454" s="43" t="str">
        <f>IF(D454&lt;=0,"",VLOOKUP(D454,[1]FF!A:D,2,0))</f>
        <v>PARTICIPACIONES Ramo 28</v>
      </c>
      <c r="F454" s="37" t="s">
        <v>546</v>
      </c>
      <c r="G454" s="37" t="s">
        <v>461</v>
      </c>
      <c r="H454" s="49">
        <v>221001</v>
      </c>
      <c r="I454" s="44" t="str">
        <f>IF(H454&lt;=0,"",VLOOKUP(H454,[4]COG!A:H,2,0))</f>
        <v>Alimentación de personas</v>
      </c>
      <c r="J454" s="39">
        <v>0</v>
      </c>
      <c r="K454" s="39">
        <v>0</v>
      </c>
      <c r="L454" s="50"/>
      <c r="M454" s="50"/>
      <c r="N454" s="1">
        <f>Tabla5[[#This Row],[TRIMESTRE  I]]+Tabla5[[#This Row],[TRIMESTRE II]]+Tabla5[[#This Row],[TRIMESTRE III]]+Tabla5[[#This Row],[TRIMESTRE IV]]</f>
        <v>0</v>
      </c>
      <c r="O454" s="39"/>
      <c r="P454" s="39"/>
      <c r="Q454" s="59"/>
    </row>
    <row r="455" spans="2:17" ht="22.5" x14ac:dyDescent="0.2">
      <c r="B455" s="46">
        <v>509067</v>
      </c>
      <c r="C455" s="47" t="s">
        <v>523</v>
      </c>
      <c r="D455" s="48">
        <v>530</v>
      </c>
      <c r="E455" s="43" t="str">
        <f>IF(D455&lt;=0,"",VLOOKUP(D455,[1]FF!A:D,2,0))</f>
        <v>PARTICIPACIONES Ramo 28</v>
      </c>
      <c r="F455" s="37" t="s">
        <v>546</v>
      </c>
      <c r="G455" s="37" t="s">
        <v>461</v>
      </c>
      <c r="H455" s="49">
        <v>246001</v>
      </c>
      <c r="I455" s="44" t="str">
        <f>IF(H455&lt;=0,"",VLOOKUP(H455,[4]COG!A:H,2,0))</f>
        <v>Material eléctrico</v>
      </c>
      <c r="J455" s="39">
        <v>3195</v>
      </c>
      <c r="K455" s="39">
        <v>3195</v>
      </c>
      <c r="L455" s="50"/>
      <c r="M455" s="50"/>
      <c r="N455" s="1">
        <f>Tabla5[[#This Row],[TRIMESTRE  I]]+Tabla5[[#This Row],[TRIMESTRE II]]+Tabla5[[#This Row],[TRIMESTRE III]]+Tabla5[[#This Row],[TRIMESTRE IV]]</f>
        <v>6390</v>
      </c>
      <c r="O455" s="39"/>
      <c r="P455" s="39"/>
      <c r="Q455" s="59"/>
    </row>
    <row r="456" spans="2:17" ht="22.5" x14ac:dyDescent="0.2">
      <c r="B456" s="46">
        <v>509067</v>
      </c>
      <c r="C456" s="47" t="s">
        <v>523</v>
      </c>
      <c r="D456" s="48">
        <v>530</v>
      </c>
      <c r="E456" s="43" t="str">
        <f>IF(D456&lt;=0,"",VLOOKUP(D456,[1]FF!A:D,2,0))</f>
        <v>PARTICIPACIONES Ramo 28</v>
      </c>
      <c r="F456" s="37" t="s">
        <v>546</v>
      </c>
      <c r="G456" s="37" t="s">
        <v>461</v>
      </c>
      <c r="H456" s="49">
        <v>249001</v>
      </c>
      <c r="I456" s="44" t="str">
        <f>IF(H456&lt;=0,"",VLOOKUP(H456,[4]COG!A:H,2,0))</f>
        <v>Materiales de construcción y complementarios</v>
      </c>
      <c r="J456" s="39">
        <v>3165</v>
      </c>
      <c r="K456" s="39">
        <v>3165</v>
      </c>
      <c r="L456" s="50"/>
      <c r="M456" s="50"/>
      <c r="N456" s="1">
        <f>Tabla5[[#This Row],[TRIMESTRE  I]]+Tabla5[[#This Row],[TRIMESTRE II]]+Tabla5[[#This Row],[TRIMESTRE III]]+Tabla5[[#This Row],[TRIMESTRE IV]]</f>
        <v>6330</v>
      </c>
      <c r="O456" s="39"/>
      <c r="P456" s="39"/>
      <c r="Q456" s="59"/>
    </row>
    <row r="457" spans="2:17" ht="22.5" x14ac:dyDescent="0.2">
      <c r="B457" s="46">
        <v>509067</v>
      </c>
      <c r="C457" s="47" t="s">
        <v>523</v>
      </c>
      <c r="D457" s="48">
        <v>530</v>
      </c>
      <c r="E457" s="43" t="str">
        <f>IF(D457&lt;=0,"",VLOOKUP(D457,[1]FF!A:D,2,0))</f>
        <v>PARTICIPACIONES Ramo 28</v>
      </c>
      <c r="F457" s="37" t="s">
        <v>546</v>
      </c>
      <c r="G457" s="37" t="s">
        <v>461</v>
      </c>
      <c r="H457" s="49">
        <v>261001</v>
      </c>
      <c r="I457" s="44" t="str">
        <f>IF(H457&lt;=0,"",VLOOKUP(H457,[4]COG!A:H,2,0))</f>
        <v>Combustibles</v>
      </c>
      <c r="J457" s="39">
        <v>1140</v>
      </c>
      <c r="K457" s="39">
        <v>1140</v>
      </c>
      <c r="L457" s="50"/>
      <c r="M457" s="50"/>
      <c r="N457" s="1">
        <f>Tabla5[[#This Row],[TRIMESTRE  I]]+Tabla5[[#This Row],[TRIMESTRE II]]+Tabla5[[#This Row],[TRIMESTRE III]]+Tabla5[[#This Row],[TRIMESTRE IV]]</f>
        <v>2280</v>
      </c>
      <c r="O457" s="39"/>
      <c r="P457" s="39"/>
      <c r="Q457" s="59"/>
    </row>
    <row r="458" spans="2:17" ht="22.5" x14ac:dyDescent="0.2">
      <c r="B458" s="46">
        <v>509067</v>
      </c>
      <c r="C458" s="47" t="s">
        <v>523</v>
      </c>
      <c r="D458" s="48">
        <v>530</v>
      </c>
      <c r="E458" s="43" t="str">
        <f>IF(D458&lt;=0,"",VLOOKUP(D458,[1]FF!A:D,2,0))</f>
        <v>PARTICIPACIONES Ramo 28</v>
      </c>
      <c r="F458" s="37" t="s">
        <v>546</v>
      </c>
      <c r="G458" s="37" t="s">
        <v>461</v>
      </c>
      <c r="H458" s="49">
        <v>261002</v>
      </c>
      <c r="I458" s="44" t="str">
        <f>IF(H458&lt;=0,"",VLOOKUP(H458,[4]COG!A:H,2,0))</f>
        <v>Lubricantes y aditivos</v>
      </c>
      <c r="J458" s="39">
        <v>0</v>
      </c>
      <c r="K458" s="39">
        <v>0</v>
      </c>
      <c r="L458" s="50"/>
      <c r="M458" s="50"/>
      <c r="N458" s="1">
        <f>Tabla5[[#This Row],[TRIMESTRE  I]]+Tabla5[[#This Row],[TRIMESTRE II]]+Tabla5[[#This Row],[TRIMESTRE III]]+Tabla5[[#This Row],[TRIMESTRE IV]]</f>
        <v>0</v>
      </c>
      <c r="O458" s="39"/>
      <c r="P458" s="39"/>
      <c r="Q458" s="59"/>
    </row>
    <row r="459" spans="2:17" ht="22.5" x14ac:dyDescent="0.2">
      <c r="B459" s="46">
        <v>509067</v>
      </c>
      <c r="C459" s="47" t="s">
        <v>523</v>
      </c>
      <c r="D459" s="48">
        <v>530</v>
      </c>
      <c r="E459" s="43" t="str">
        <f>IF(D459&lt;=0,"",VLOOKUP(D459,[1]FF!A:D,2,0))</f>
        <v>PARTICIPACIONES Ramo 28</v>
      </c>
      <c r="F459" s="37" t="s">
        <v>546</v>
      </c>
      <c r="G459" s="37" t="s">
        <v>461</v>
      </c>
      <c r="H459" s="49">
        <v>271001</v>
      </c>
      <c r="I459" s="44" t="str">
        <f>IF(H459&lt;=0,"",VLOOKUP(H459,[4]COG!A:H,2,0))</f>
        <v>Ropa, vestuario y equipo</v>
      </c>
      <c r="J459" s="39">
        <v>297</v>
      </c>
      <c r="K459" s="39">
        <v>297</v>
      </c>
      <c r="L459" s="50"/>
      <c r="M459" s="50"/>
      <c r="N459" s="1">
        <f>Tabla5[[#This Row],[TRIMESTRE  I]]+Tabla5[[#This Row],[TRIMESTRE II]]+Tabla5[[#This Row],[TRIMESTRE III]]+Tabla5[[#This Row],[TRIMESTRE IV]]</f>
        <v>594</v>
      </c>
      <c r="O459" s="39"/>
      <c r="P459" s="39"/>
      <c r="Q459" s="59"/>
    </row>
    <row r="460" spans="2:17" ht="27" x14ac:dyDescent="0.2">
      <c r="B460" s="46">
        <v>509067</v>
      </c>
      <c r="C460" s="47" t="s">
        <v>523</v>
      </c>
      <c r="D460" s="48">
        <v>530</v>
      </c>
      <c r="E460" s="43" t="str">
        <f>IF(D460&lt;=0,"",VLOOKUP(D460,[1]FF!A:D,2,0))</f>
        <v>PARTICIPACIONES Ramo 28</v>
      </c>
      <c r="F460" s="37" t="s">
        <v>546</v>
      </c>
      <c r="G460" s="37" t="s">
        <v>461</v>
      </c>
      <c r="H460" s="49">
        <v>293001</v>
      </c>
      <c r="I460" s="44" t="str">
        <f>IF(H460&lt;=0,"",VLOOKUP(H460,[4]COG!A:H,2,0))</f>
        <v>Refacciones y accesorios menores de mobiliario y equipo de administración, educacional y recreativo</v>
      </c>
      <c r="J460" s="39">
        <v>0</v>
      </c>
      <c r="K460" s="39">
        <v>0</v>
      </c>
      <c r="L460" s="50"/>
      <c r="M460" s="50"/>
      <c r="N460" s="1">
        <f>Tabla5[[#This Row],[TRIMESTRE  I]]+Tabla5[[#This Row],[TRIMESTRE II]]+Tabla5[[#This Row],[TRIMESTRE III]]+Tabla5[[#This Row],[TRIMESTRE IV]]</f>
        <v>0</v>
      </c>
      <c r="O460" s="39"/>
      <c r="P460" s="39"/>
      <c r="Q460" s="59"/>
    </row>
    <row r="461" spans="2:17" ht="22.5" x14ac:dyDescent="0.2">
      <c r="B461" s="46">
        <v>509067</v>
      </c>
      <c r="C461" s="47" t="s">
        <v>523</v>
      </c>
      <c r="D461" s="48">
        <v>530</v>
      </c>
      <c r="E461" s="43" t="str">
        <f>IF(D461&lt;=0,"",VLOOKUP(D461,[1]FF!A:D,2,0))</f>
        <v>PARTICIPACIONES Ramo 28</v>
      </c>
      <c r="F461" s="37" t="s">
        <v>546</v>
      </c>
      <c r="G461" s="37" t="s">
        <v>461</v>
      </c>
      <c r="H461" s="49">
        <v>294001</v>
      </c>
      <c r="I461" s="44" t="str">
        <f>IF(H461&lt;=0,"",VLOOKUP(H461,[4]COG!A:H,2,0))</f>
        <v>Dispositivos Internos y Externos de Equipo de Computo</v>
      </c>
      <c r="J461" s="39">
        <v>0</v>
      </c>
      <c r="K461" s="39">
        <v>0</v>
      </c>
      <c r="L461" s="50"/>
      <c r="M461" s="50"/>
      <c r="N461" s="1">
        <f>Tabla5[[#This Row],[TRIMESTRE  I]]+Tabla5[[#This Row],[TRIMESTRE II]]+Tabla5[[#This Row],[TRIMESTRE III]]+Tabla5[[#This Row],[TRIMESTRE IV]]</f>
        <v>0</v>
      </c>
      <c r="O461" s="39"/>
      <c r="P461" s="39"/>
      <c r="Q461" s="59"/>
    </row>
    <row r="462" spans="2:17" ht="22.5" x14ac:dyDescent="0.2">
      <c r="B462" s="46">
        <v>509067</v>
      </c>
      <c r="C462" s="47" t="s">
        <v>523</v>
      </c>
      <c r="D462" s="48">
        <v>530</v>
      </c>
      <c r="E462" s="43" t="str">
        <f>IF(D462&lt;=0,"",VLOOKUP(D462,[1]FF!A:D,2,0))</f>
        <v>PARTICIPACIONES Ramo 28</v>
      </c>
      <c r="F462" s="37" t="s">
        <v>546</v>
      </c>
      <c r="G462" s="37" t="s">
        <v>461</v>
      </c>
      <c r="H462" s="49">
        <v>296001</v>
      </c>
      <c r="I462" s="44" t="str">
        <f>IF(H462&lt;=0,"",VLOOKUP(H462,[4]COG!A:H,2,0))</f>
        <v>Herramientas, refacciones y accesorios</v>
      </c>
      <c r="J462" s="39">
        <v>678</v>
      </c>
      <c r="K462" s="39">
        <v>678</v>
      </c>
      <c r="L462" s="50"/>
      <c r="M462" s="50"/>
      <c r="N462" s="1">
        <f>Tabla5[[#This Row],[TRIMESTRE  I]]+Tabla5[[#This Row],[TRIMESTRE II]]+Tabla5[[#This Row],[TRIMESTRE III]]+Tabla5[[#This Row],[TRIMESTRE IV]]</f>
        <v>1356</v>
      </c>
      <c r="O462" s="39"/>
      <c r="P462" s="39"/>
      <c r="Q462" s="59"/>
    </row>
    <row r="463" spans="2:17" x14ac:dyDescent="0.2">
      <c r="B463" s="46">
        <v>510068</v>
      </c>
      <c r="C463" s="47" t="s">
        <v>523</v>
      </c>
      <c r="D463" s="48">
        <v>530</v>
      </c>
      <c r="E463" s="43" t="str">
        <f>IF(D463&lt;=0,"",VLOOKUP(D463,[1]FF!A:D,2,0))</f>
        <v>PARTICIPACIONES Ramo 28</v>
      </c>
      <c r="F463" s="37" t="s">
        <v>547</v>
      </c>
      <c r="G463" s="37" t="s">
        <v>461</v>
      </c>
      <c r="H463" s="49">
        <v>211001</v>
      </c>
      <c r="I463" s="44" t="str">
        <f>IF(H463&lt;=0,"",VLOOKUP(H463,[4]COG!A:H,2,0))</f>
        <v>Material de oficina</v>
      </c>
      <c r="J463" s="39">
        <v>9381</v>
      </c>
      <c r="K463" s="39">
        <v>9381</v>
      </c>
      <c r="L463" s="50"/>
      <c r="M463" s="50"/>
      <c r="N463" s="1">
        <f>Tabla5[[#This Row],[TRIMESTRE  I]]+Tabla5[[#This Row],[TRIMESTRE II]]+Tabla5[[#This Row],[TRIMESTRE III]]+Tabla5[[#This Row],[TRIMESTRE IV]]</f>
        <v>18762</v>
      </c>
      <c r="O463" s="39"/>
      <c r="P463" s="39"/>
      <c r="Q463" s="59"/>
    </row>
    <row r="464" spans="2:17" x14ac:dyDescent="0.2">
      <c r="B464" s="46">
        <v>510068</v>
      </c>
      <c r="C464" s="47" t="s">
        <v>523</v>
      </c>
      <c r="D464" s="48">
        <v>530</v>
      </c>
      <c r="E464" s="43" t="str">
        <f>IF(D464&lt;=0,"",VLOOKUP(D464,[1]FF!A:D,2,0))</f>
        <v>PARTICIPACIONES Ramo 28</v>
      </c>
      <c r="F464" s="37" t="s">
        <v>547</v>
      </c>
      <c r="G464" s="37" t="s">
        <v>461</v>
      </c>
      <c r="H464" s="49">
        <v>212001</v>
      </c>
      <c r="I464" s="44" t="str">
        <f>IF(H464&lt;=0,"",VLOOKUP(H464,[4]COG!A:H,2,0))</f>
        <v>Material y útiles de impresión</v>
      </c>
      <c r="J464" s="39">
        <v>18399</v>
      </c>
      <c r="K464" s="39">
        <v>18399</v>
      </c>
      <c r="L464" s="50"/>
      <c r="M464" s="50"/>
      <c r="N464" s="1">
        <f>Tabla5[[#This Row],[TRIMESTRE  I]]+Tabla5[[#This Row],[TRIMESTRE II]]+Tabla5[[#This Row],[TRIMESTRE III]]+Tabla5[[#This Row],[TRIMESTRE IV]]</f>
        <v>36798</v>
      </c>
      <c r="O464" s="39"/>
      <c r="P464" s="39"/>
      <c r="Q464" s="59"/>
    </row>
    <row r="465" spans="2:17" ht="27" x14ac:dyDescent="0.2">
      <c r="B465" s="46">
        <v>510068</v>
      </c>
      <c r="C465" s="47" t="s">
        <v>523</v>
      </c>
      <c r="D465" s="48">
        <v>530</v>
      </c>
      <c r="E465" s="43" t="str">
        <f>IF(D465&lt;=0,"",VLOOKUP(D465,[1]FF!A:D,2,0))</f>
        <v>PARTICIPACIONES Ramo 28</v>
      </c>
      <c r="F465" s="37" t="s">
        <v>547</v>
      </c>
      <c r="G465" s="37" t="s">
        <v>461</v>
      </c>
      <c r="H465" s="49">
        <v>214001</v>
      </c>
      <c r="I465" s="44" t="str">
        <f>IF(H465&lt;=0,"",VLOOKUP(H465,[4]COG!A:H,2,0))</f>
        <v>Materiales, útiles y equipos menores de tecnologías de la información y comunicaciones</v>
      </c>
      <c r="J465" s="39">
        <v>179928</v>
      </c>
      <c r="K465" s="39">
        <v>179928</v>
      </c>
      <c r="L465" s="50"/>
      <c r="M465" s="50"/>
      <c r="N465" s="1">
        <f>Tabla5[[#This Row],[TRIMESTRE  I]]+Tabla5[[#This Row],[TRIMESTRE II]]+Tabla5[[#This Row],[TRIMESTRE III]]+Tabla5[[#This Row],[TRIMESTRE IV]]</f>
        <v>359856</v>
      </c>
      <c r="O465" s="39"/>
      <c r="P465" s="39"/>
      <c r="Q465" s="59"/>
    </row>
    <row r="466" spans="2:17" x14ac:dyDescent="0.2">
      <c r="B466" s="46">
        <v>510068</v>
      </c>
      <c r="C466" s="47" t="s">
        <v>523</v>
      </c>
      <c r="D466" s="48">
        <v>530</v>
      </c>
      <c r="E466" s="43" t="str">
        <f>IF(D466&lt;=0,"",VLOOKUP(D466,[1]FF!A:D,2,0))</f>
        <v>PARTICIPACIONES Ramo 28</v>
      </c>
      <c r="F466" s="37" t="s">
        <v>547</v>
      </c>
      <c r="G466" s="37" t="s">
        <v>461</v>
      </c>
      <c r="H466" s="49">
        <v>215001</v>
      </c>
      <c r="I466" s="44" t="str">
        <f>IF(H466&lt;=0,"",VLOOKUP(H466,[4]COG!A:H,2,0))</f>
        <v>Material didáctico</v>
      </c>
      <c r="J466" s="39">
        <v>175</v>
      </c>
      <c r="K466" s="39">
        <v>0</v>
      </c>
      <c r="L466" s="50"/>
      <c r="M466" s="50"/>
      <c r="N466" s="1">
        <f>Tabla5[[#This Row],[TRIMESTRE  I]]+Tabla5[[#This Row],[TRIMESTRE II]]+Tabla5[[#This Row],[TRIMESTRE III]]+Tabla5[[#This Row],[TRIMESTRE IV]]</f>
        <v>175</v>
      </c>
      <c r="O466" s="39"/>
      <c r="P466" s="39"/>
      <c r="Q466" s="59"/>
    </row>
    <row r="467" spans="2:17" x14ac:dyDescent="0.2">
      <c r="B467" s="46">
        <v>510068</v>
      </c>
      <c r="C467" s="47" t="s">
        <v>523</v>
      </c>
      <c r="D467" s="48">
        <v>530</v>
      </c>
      <c r="E467" s="43" t="str">
        <f>IF(D467&lt;=0,"",VLOOKUP(D467,[1]FF!A:D,2,0))</f>
        <v>PARTICIPACIONES Ramo 28</v>
      </c>
      <c r="F467" s="37" t="s">
        <v>547</v>
      </c>
      <c r="G467" s="37" t="s">
        <v>461</v>
      </c>
      <c r="H467" s="49">
        <v>216001</v>
      </c>
      <c r="I467" s="44" t="str">
        <f>IF(H467&lt;=0,"",VLOOKUP(H467,[4]COG!A:H,2,0))</f>
        <v>Material de limpieza</v>
      </c>
      <c r="J467" s="39">
        <v>11877</v>
      </c>
      <c r="K467" s="39">
        <v>11877</v>
      </c>
      <c r="L467" s="50"/>
      <c r="M467" s="50"/>
      <c r="N467" s="1">
        <f>Tabla5[[#This Row],[TRIMESTRE  I]]+Tabla5[[#This Row],[TRIMESTRE II]]+Tabla5[[#This Row],[TRIMESTRE III]]+Tabla5[[#This Row],[TRIMESTRE IV]]</f>
        <v>23754</v>
      </c>
      <c r="O467" s="39"/>
      <c r="P467" s="39"/>
      <c r="Q467" s="59"/>
    </row>
    <row r="468" spans="2:17" x14ac:dyDescent="0.2">
      <c r="B468" s="46">
        <v>510068</v>
      </c>
      <c r="C468" s="47" t="s">
        <v>523</v>
      </c>
      <c r="D468" s="48">
        <v>530</v>
      </c>
      <c r="E468" s="43" t="str">
        <f>IF(D468&lt;=0,"",VLOOKUP(D468,[1]FF!A:D,2,0))</f>
        <v>PARTICIPACIONES Ramo 28</v>
      </c>
      <c r="F468" s="37" t="s">
        <v>547</v>
      </c>
      <c r="G468" s="37" t="s">
        <v>461</v>
      </c>
      <c r="H468" s="49">
        <v>221001</v>
      </c>
      <c r="I468" s="44" t="str">
        <f>IF(H468&lt;=0,"",VLOOKUP(H468,[4]COG!A:H,2,0))</f>
        <v>Alimentación de personas</v>
      </c>
      <c r="J468" s="39">
        <v>1078</v>
      </c>
      <c r="K468" s="39">
        <v>1078</v>
      </c>
      <c r="L468" s="50"/>
      <c r="M468" s="50"/>
      <c r="N468" s="1">
        <f>Tabla5[[#This Row],[TRIMESTRE  I]]+Tabla5[[#This Row],[TRIMESTRE II]]+Tabla5[[#This Row],[TRIMESTRE III]]+Tabla5[[#This Row],[TRIMESTRE IV]]</f>
        <v>2156</v>
      </c>
      <c r="O468" s="39"/>
      <c r="P468" s="39"/>
      <c r="Q468" s="59"/>
    </row>
    <row r="469" spans="2:17" x14ac:dyDescent="0.2">
      <c r="B469" s="46">
        <v>510068</v>
      </c>
      <c r="C469" s="47" t="s">
        <v>523</v>
      </c>
      <c r="D469" s="48">
        <v>530</v>
      </c>
      <c r="E469" s="43" t="str">
        <f>IF(D469&lt;=0,"",VLOOKUP(D469,[1]FF!A:D,2,0))</f>
        <v>PARTICIPACIONES Ramo 28</v>
      </c>
      <c r="F469" s="37" t="s">
        <v>547</v>
      </c>
      <c r="G469" s="37" t="s">
        <v>461</v>
      </c>
      <c r="H469" s="49">
        <v>223001</v>
      </c>
      <c r="I469" s="44" t="str">
        <f>IF(H469&lt;=0,"",VLOOKUP(H469,[4]COG!A:H,2,0))</f>
        <v>Utensilios para el servicio de alimentación</v>
      </c>
      <c r="J469" s="39">
        <v>0</v>
      </c>
      <c r="K469" s="39">
        <v>0</v>
      </c>
      <c r="L469" s="50"/>
      <c r="M469" s="50"/>
      <c r="N469" s="1">
        <f>Tabla5[[#This Row],[TRIMESTRE  I]]+Tabla5[[#This Row],[TRIMESTRE II]]+Tabla5[[#This Row],[TRIMESTRE III]]+Tabla5[[#This Row],[TRIMESTRE IV]]</f>
        <v>0</v>
      </c>
      <c r="O469" s="39"/>
      <c r="P469" s="39"/>
      <c r="Q469" s="59"/>
    </row>
    <row r="470" spans="2:17" x14ac:dyDescent="0.2">
      <c r="B470" s="46">
        <v>510068</v>
      </c>
      <c r="C470" s="47" t="s">
        <v>523</v>
      </c>
      <c r="D470" s="48">
        <v>530</v>
      </c>
      <c r="E470" s="43" t="str">
        <f>IF(D470&lt;=0,"",VLOOKUP(D470,[1]FF!A:D,2,0))</f>
        <v>PARTICIPACIONES Ramo 28</v>
      </c>
      <c r="F470" s="37" t="s">
        <v>547</v>
      </c>
      <c r="G470" s="37" t="s">
        <v>461</v>
      </c>
      <c r="H470" s="49">
        <v>246001</v>
      </c>
      <c r="I470" s="44" t="str">
        <f>IF(H470&lt;=0,"",VLOOKUP(H470,[4]COG!A:H,2,0))</f>
        <v>Material eléctrico</v>
      </c>
      <c r="J470" s="39">
        <v>43494</v>
      </c>
      <c r="K470" s="39">
        <v>43494</v>
      </c>
      <c r="L470" s="50"/>
      <c r="M470" s="50"/>
      <c r="N470" s="1">
        <f>Tabla5[[#This Row],[TRIMESTRE  I]]+Tabla5[[#This Row],[TRIMESTRE II]]+Tabla5[[#This Row],[TRIMESTRE III]]+Tabla5[[#This Row],[TRIMESTRE IV]]</f>
        <v>86988</v>
      </c>
      <c r="O470" s="39"/>
      <c r="P470" s="39"/>
      <c r="Q470" s="59"/>
    </row>
    <row r="471" spans="2:17" x14ac:dyDescent="0.2">
      <c r="B471" s="46">
        <v>510068</v>
      </c>
      <c r="C471" s="47" t="s">
        <v>523</v>
      </c>
      <c r="D471" s="48">
        <v>530</v>
      </c>
      <c r="E471" s="43" t="str">
        <f>IF(D471&lt;=0,"",VLOOKUP(D471,[1]FF!A:D,2,0))</f>
        <v>PARTICIPACIONES Ramo 28</v>
      </c>
      <c r="F471" s="37" t="s">
        <v>547</v>
      </c>
      <c r="G471" s="37" t="s">
        <v>461</v>
      </c>
      <c r="H471" s="49">
        <v>247001</v>
      </c>
      <c r="I471" s="44" t="str">
        <f>IF(H471&lt;=0,"",VLOOKUP(H471,[4]COG!A:H,2,0))</f>
        <v>Artículos metálicos para la construcción</v>
      </c>
      <c r="J471" s="39">
        <v>0</v>
      </c>
      <c r="K471" s="39">
        <v>0</v>
      </c>
      <c r="L471" s="50"/>
      <c r="M471" s="50"/>
      <c r="N471" s="1">
        <f>Tabla5[[#This Row],[TRIMESTRE  I]]+Tabla5[[#This Row],[TRIMESTRE II]]+Tabla5[[#This Row],[TRIMESTRE III]]+Tabla5[[#This Row],[TRIMESTRE IV]]</f>
        <v>0</v>
      </c>
      <c r="O471" s="39"/>
      <c r="P471" s="39"/>
      <c r="Q471" s="59"/>
    </row>
    <row r="472" spans="2:17" ht="18" x14ac:dyDescent="0.2">
      <c r="B472" s="46">
        <v>510068</v>
      </c>
      <c r="C472" s="47" t="s">
        <v>523</v>
      </c>
      <c r="D472" s="48">
        <v>530</v>
      </c>
      <c r="E472" s="43" t="str">
        <f>IF(D472&lt;=0,"",VLOOKUP(D472,[1]FF!A:D,2,0))</f>
        <v>PARTICIPACIONES Ramo 28</v>
      </c>
      <c r="F472" s="37" t="s">
        <v>547</v>
      </c>
      <c r="G472" s="37" t="s">
        <v>461</v>
      </c>
      <c r="H472" s="49">
        <v>249001</v>
      </c>
      <c r="I472" s="44" t="str">
        <f>IF(H472&lt;=0,"",VLOOKUP(H472,[4]COG!A:H,2,0))</f>
        <v>Materiales de construcción y complementarios</v>
      </c>
      <c r="J472" s="39">
        <v>229</v>
      </c>
      <c r="K472" s="39">
        <v>0</v>
      </c>
      <c r="L472" s="50"/>
      <c r="M472" s="50"/>
      <c r="N472" s="1">
        <f>Tabla5[[#This Row],[TRIMESTRE  I]]+Tabla5[[#This Row],[TRIMESTRE II]]+Tabla5[[#This Row],[TRIMESTRE III]]+Tabla5[[#This Row],[TRIMESTRE IV]]</f>
        <v>229</v>
      </c>
      <c r="O472" s="39"/>
      <c r="P472" s="39"/>
      <c r="Q472" s="59"/>
    </row>
    <row r="473" spans="2:17" ht="18" x14ac:dyDescent="0.2">
      <c r="B473" s="46">
        <v>510068</v>
      </c>
      <c r="C473" s="47" t="s">
        <v>523</v>
      </c>
      <c r="D473" s="48">
        <v>530</v>
      </c>
      <c r="E473" s="43" t="str">
        <f>IF(D473&lt;=0,"",VLOOKUP(D473,[1]FF!A:D,2,0))</f>
        <v>PARTICIPACIONES Ramo 28</v>
      </c>
      <c r="F473" s="37" t="s">
        <v>547</v>
      </c>
      <c r="G473" s="37" t="s">
        <v>461</v>
      </c>
      <c r="H473" s="49">
        <v>249002</v>
      </c>
      <c r="I473" s="44" t="str">
        <f>IF(H473&lt;=0,"",VLOOKUP(H473,[4]COG!A:H,2,0))</f>
        <v>Otros materiales de construcción y reparación</v>
      </c>
      <c r="J473" s="39">
        <v>0</v>
      </c>
      <c r="K473" s="39">
        <v>0</v>
      </c>
      <c r="L473" s="50"/>
      <c r="M473" s="50"/>
      <c r="N473" s="1">
        <f>Tabla5[[#This Row],[TRIMESTRE  I]]+Tabla5[[#This Row],[TRIMESTRE II]]+Tabla5[[#This Row],[TRIMESTRE III]]+Tabla5[[#This Row],[TRIMESTRE IV]]</f>
        <v>0</v>
      </c>
      <c r="O473" s="39"/>
      <c r="P473" s="39"/>
      <c r="Q473" s="59"/>
    </row>
    <row r="474" spans="2:17" x14ac:dyDescent="0.2">
      <c r="B474" s="46">
        <v>510068</v>
      </c>
      <c r="C474" s="47" t="s">
        <v>523</v>
      </c>
      <c r="D474" s="48">
        <v>530</v>
      </c>
      <c r="E474" s="43" t="str">
        <f>IF(D474&lt;=0,"",VLOOKUP(D474,[1]FF!A:D,2,0))</f>
        <v>PARTICIPACIONES Ramo 28</v>
      </c>
      <c r="F474" s="37" t="s">
        <v>547</v>
      </c>
      <c r="G474" s="37" t="s">
        <v>461</v>
      </c>
      <c r="H474" s="49">
        <v>251001</v>
      </c>
      <c r="I474" s="44" t="str">
        <f>IF(H474&lt;=0,"",VLOOKUP(H474,[4]COG!A:H,2,0))</f>
        <v>Gas Refrigerante</v>
      </c>
      <c r="J474" s="39">
        <v>0</v>
      </c>
      <c r="K474" s="39">
        <v>0</v>
      </c>
      <c r="L474" s="50"/>
      <c r="M474" s="50"/>
      <c r="N474" s="1">
        <f>Tabla5[[#This Row],[TRIMESTRE  I]]+Tabla5[[#This Row],[TRIMESTRE II]]+Tabla5[[#This Row],[TRIMESTRE III]]+Tabla5[[#This Row],[TRIMESTRE IV]]</f>
        <v>0</v>
      </c>
      <c r="O474" s="39"/>
      <c r="P474" s="39"/>
      <c r="Q474" s="59"/>
    </row>
    <row r="475" spans="2:17" ht="18" x14ac:dyDescent="0.2">
      <c r="B475" s="46">
        <v>510068</v>
      </c>
      <c r="C475" s="47" t="s">
        <v>523</v>
      </c>
      <c r="D475" s="48">
        <v>530</v>
      </c>
      <c r="E475" s="43" t="str">
        <f>IF(D475&lt;=0,"",VLOOKUP(D475,[1]FF!A:D,2,0))</f>
        <v>PARTICIPACIONES Ramo 28</v>
      </c>
      <c r="F475" s="37" t="s">
        <v>547</v>
      </c>
      <c r="G475" s="37" t="s">
        <v>461</v>
      </c>
      <c r="H475" s="49">
        <v>253001</v>
      </c>
      <c r="I475" s="44" t="str">
        <f>IF(H475&lt;=0,"",VLOOKUP(H475,[4]COG!A:H,2,0))</f>
        <v>Material y productos químicos, farmacéuticos</v>
      </c>
      <c r="J475" s="39">
        <v>383</v>
      </c>
      <c r="K475" s="39">
        <v>0</v>
      </c>
      <c r="L475" s="50"/>
      <c r="M475" s="50"/>
      <c r="N475" s="1">
        <f>Tabla5[[#This Row],[TRIMESTRE  I]]+Tabla5[[#This Row],[TRIMESTRE II]]+Tabla5[[#This Row],[TRIMESTRE III]]+Tabla5[[#This Row],[TRIMESTRE IV]]</f>
        <v>383</v>
      </c>
      <c r="O475" s="39"/>
      <c r="P475" s="39"/>
      <c r="Q475" s="59"/>
    </row>
    <row r="476" spans="2:17" x14ac:dyDescent="0.2">
      <c r="B476" s="46">
        <v>510068</v>
      </c>
      <c r="C476" s="47" t="s">
        <v>523</v>
      </c>
      <c r="D476" s="48">
        <v>530</v>
      </c>
      <c r="E476" s="43" t="str">
        <f>IF(D476&lt;=0,"",VLOOKUP(D476,[1]FF!A:D,2,0))</f>
        <v>PARTICIPACIONES Ramo 28</v>
      </c>
      <c r="F476" s="37" t="s">
        <v>547</v>
      </c>
      <c r="G476" s="37" t="s">
        <v>461</v>
      </c>
      <c r="H476" s="49">
        <v>261001</v>
      </c>
      <c r="I476" s="44" t="str">
        <f>IF(H476&lt;=0,"",VLOOKUP(H476,[4]COG!A:H,2,0))</f>
        <v>Combustibles</v>
      </c>
      <c r="J476" s="39">
        <v>6069</v>
      </c>
      <c r="K476" s="39">
        <v>6069</v>
      </c>
      <c r="L476" s="50"/>
      <c r="M476" s="50"/>
      <c r="N476" s="1">
        <f>Tabla5[[#This Row],[TRIMESTRE  I]]+Tabla5[[#This Row],[TRIMESTRE II]]+Tabla5[[#This Row],[TRIMESTRE III]]+Tabla5[[#This Row],[TRIMESTRE IV]]</f>
        <v>12138</v>
      </c>
      <c r="O476" s="39"/>
      <c r="P476" s="39"/>
      <c r="Q476" s="59"/>
    </row>
    <row r="477" spans="2:17" x14ac:dyDescent="0.2">
      <c r="B477" s="46">
        <v>510068</v>
      </c>
      <c r="C477" s="47" t="s">
        <v>523</v>
      </c>
      <c r="D477" s="48">
        <v>530</v>
      </c>
      <c r="E477" s="43" t="str">
        <f>IF(D477&lt;=0,"",VLOOKUP(D477,[1]FF!A:D,2,0))</f>
        <v>PARTICIPACIONES Ramo 28</v>
      </c>
      <c r="F477" s="37" t="s">
        <v>547</v>
      </c>
      <c r="G477" s="37" t="s">
        <v>461</v>
      </c>
      <c r="H477" s="49">
        <v>261002</v>
      </c>
      <c r="I477" s="44" t="str">
        <f>IF(H477&lt;=0,"",VLOOKUP(H477,[4]COG!A:H,2,0))</f>
        <v>Lubricantes y aditivos</v>
      </c>
      <c r="J477" s="39">
        <v>458</v>
      </c>
      <c r="K477" s="39">
        <v>229</v>
      </c>
      <c r="L477" s="50"/>
      <c r="M477" s="50"/>
      <c r="N477" s="1">
        <f>Tabla5[[#This Row],[TRIMESTRE  I]]+Tabla5[[#This Row],[TRIMESTRE II]]+Tabla5[[#This Row],[TRIMESTRE III]]+Tabla5[[#This Row],[TRIMESTRE IV]]</f>
        <v>687</v>
      </c>
      <c r="O477" s="39"/>
      <c r="P477" s="39"/>
      <c r="Q477" s="59"/>
    </row>
    <row r="478" spans="2:17" x14ac:dyDescent="0.2">
      <c r="B478" s="46">
        <v>510068</v>
      </c>
      <c r="C478" s="47" t="s">
        <v>523</v>
      </c>
      <c r="D478" s="48">
        <v>530</v>
      </c>
      <c r="E478" s="43" t="str">
        <f>IF(D478&lt;=0,"",VLOOKUP(D478,[1]FF!A:D,2,0))</f>
        <v>PARTICIPACIONES Ramo 28</v>
      </c>
      <c r="F478" s="37" t="s">
        <v>547</v>
      </c>
      <c r="G478" s="37" t="s">
        <v>461</v>
      </c>
      <c r="H478" s="49">
        <v>271001</v>
      </c>
      <c r="I478" s="44" t="str">
        <f>IF(H478&lt;=0,"",VLOOKUP(H478,[4]COG!A:H,2,0))</f>
        <v>Ropa, vestuario y equipo</v>
      </c>
      <c r="J478" s="39">
        <v>10794</v>
      </c>
      <c r="K478" s="39">
        <v>0</v>
      </c>
      <c r="L478" s="50"/>
      <c r="M478" s="50"/>
      <c r="N478" s="1">
        <f>Tabla5[[#This Row],[TRIMESTRE  I]]+Tabla5[[#This Row],[TRIMESTRE II]]+Tabla5[[#This Row],[TRIMESTRE III]]+Tabla5[[#This Row],[TRIMESTRE IV]]</f>
        <v>10794</v>
      </c>
      <c r="O478" s="39"/>
      <c r="P478" s="39"/>
      <c r="Q478" s="59"/>
    </row>
    <row r="479" spans="2:17" x14ac:dyDescent="0.2">
      <c r="B479" s="46">
        <v>510068</v>
      </c>
      <c r="C479" s="47" t="s">
        <v>523</v>
      </c>
      <c r="D479" s="48">
        <v>530</v>
      </c>
      <c r="E479" s="43" t="str">
        <f>IF(D479&lt;=0,"",VLOOKUP(D479,[1]FF!A:D,2,0))</f>
        <v>PARTICIPACIONES Ramo 28</v>
      </c>
      <c r="F479" s="37" t="s">
        <v>547</v>
      </c>
      <c r="G479" s="37" t="s">
        <v>461</v>
      </c>
      <c r="H479" s="49">
        <v>272002</v>
      </c>
      <c r="I479" s="44" t="str">
        <f>IF(H479&lt;=0,"",VLOOKUP(H479,[4]COG!A:H,2,0))</f>
        <v>Prendas de seguridad y protección personal</v>
      </c>
      <c r="J479" s="39">
        <v>0</v>
      </c>
      <c r="K479" s="39">
        <v>0</v>
      </c>
      <c r="L479" s="50"/>
      <c r="M479" s="50"/>
      <c r="N479" s="1">
        <f>Tabla5[[#This Row],[TRIMESTRE  I]]+Tabla5[[#This Row],[TRIMESTRE II]]+Tabla5[[#This Row],[TRIMESTRE III]]+Tabla5[[#This Row],[TRIMESTRE IV]]</f>
        <v>0</v>
      </c>
      <c r="O479" s="39"/>
      <c r="P479" s="39"/>
      <c r="Q479" s="59"/>
    </row>
    <row r="480" spans="2:17" x14ac:dyDescent="0.2">
      <c r="B480" s="46">
        <v>510068</v>
      </c>
      <c r="C480" s="47" t="s">
        <v>523</v>
      </c>
      <c r="D480" s="48">
        <v>530</v>
      </c>
      <c r="E480" s="43" t="str">
        <f>IF(D480&lt;=0,"",VLOOKUP(D480,[1]FF!A:D,2,0))</f>
        <v>PARTICIPACIONES Ramo 28</v>
      </c>
      <c r="F480" s="37" t="s">
        <v>547</v>
      </c>
      <c r="G480" s="37" t="s">
        <v>461</v>
      </c>
      <c r="H480" s="49">
        <v>291001</v>
      </c>
      <c r="I480" s="44" t="str">
        <f>IF(H480&lt;=0,"",VLOOKUP(H480,[4]COG!A:H,2,0))</f>
        <v>Herramientas Auxiliares de Trabajo</v>
      </c>
      <c r="J480" s="39">
        <v>0</v>
      </c>
      <c r="K480" s="39">
        <v>0</v>
      </c>
      <c r="L480" s="50"/>
      <c r="M480" s="50"/>
      <c r="N480" s="1">
        <f>Tabla5[[#This Row],[TRIMESTRE  I]]+Tabla5[[#This Row],[TRIMESTRE II]]+Tabla5[[#This Row],[TRIMESTRE III]]+Tabla5[[#This Row],[TRIMESTRE IV]]</f>
        <v>0</v>
      </c>
      <c r="O480" s="39"/>
      <c r="P480" s="39"/>
      <c r="Q480" s="59"/>
    </row>
    <row r="481" spans="2:17" ht="27" x14ac:dyDescent="0.2">
      <c r="B481" s="46">
        <v>510068</v>
      </c>
      <c r="C481" s="47" t="s">
        <v>523</v>
      </c>
      <c r="D481" s="48">
        <v>530</v>
      </c>
      <c r="E481" s="43" t="str">
        <f>IF(D481&lt;=0,"",VLOOKUP(D481,[1]FF!A:D,2,0))</f>
        <v>PARTICIPACIONES Ramo 28</v>
      </c>
      <c r="F481" s="37" t="s">
        <v>547</v>
      </c>
      <c r="G481" s="37" t="s">
        <v>461</v>
      </c>
      <c r="H481" s="49">
        <v>292001</v>
      </c>
      <c r="I481" s="44" t="str">
        <f>IF(H481&lt;=0,"",VLOOKUP(H481,[4]COG!A:H,2,0))</f>
        <v>Refacciones y accesorios menores de edificios (candados, cerraduras, chapas, llaves)</v>
      </c>
      <c r="J481" s="39">
        <v>0</v>
      </c>
      <c r="K481" s="39">
        <v>0</v>
      </c>
      <c r="L481" s="50"/>
      <c r="M481" s="50"/>
      <c r="N481" s="1">
        <f>Tabla5[[#This Row],[TRIMESTRE  I]]+Tabla5[[#This Row],[TRIMESTRE II]]+Tabla5[[#This Row],[TRIMESTRE III]]+Tabla5[[#This Row],[TRIMESTRE IV]]</f>
        <v>0</v>
      </c>
      <c r="O481" s="39"/>
      <c r="P481" s="39"/>
      <c r="Q481" s="59"/>
    </row>
    <row r="482" spans="2:17" ht="27" x14ac:dyDescent="0.2">
      <c r="B482" s="46">
        <v>510068</v>
      </c>
      <c r="C482" s="47" t="s">
        <v>523</v>
      </c>
      <c r="D482" s="48">
        <v>530</v>
      </c>
      <c r="E482" s="43" t="str">
        <f>IF(D482&lt;=0,"",VLOOKUP(D482,[1]FF!A:D,2,0))</f>
        <v>PARTICIPACIONES Ramo 28</v>
      </c>
      <c r="F482" s="37" t="s">
        <v>547</v>
      </c>
      <c r="G482" s="37" t="s">
        <v>461</v>
      </c>
      <c r="H482" s="49">
        <v>293001</v>
      </c>
      <c r="I482" s="44" t="str">
        <f>IF(H482&lt;=0,"",VLOOKUP(H482,[4]COG!A:H,2,0))</f>
        <v>Refacciones y accesorios menores de mobiliario y equipo de administración, educacional y recreativo</v>
      </c>
      <c r="J482" s="39">
        <v>0</v>
      </c>
      <c r="K482" s="39">
        <v>0</v>
      </c>
      <c r="L482" s="50"/>
      <c r="M482" s="50"/>
      <c r="N482" s="1">
        <f>Tabla5[[#This Row],[TRIMESTRE  I]]+Tabla5[[#This Row],[TRIMESTRE II]]+Tabla5[[#This Row],[TRIMESTRE III]]+Tabla5[[#This Row],[TRIMESTRE IV]]</f>
        <v>0</v>
      </c>
      <c r="O482" s="39"/>
      <c r="P482" s="39"/>
      <c r="Q482" s="59"/>
    </row>
    <row r="483" spans="2:17" ht="18" x14ac:dyDescent="0.2">
      <c r="B483" s="46">
        <v>510068</v>
      </c>
      <c r="C483" s="47" t="s">
        <v>523</v>
      </c>
      <c r="D483" s="48">
        <v>530</v>
      </c>
      <c r="E483" s="43" t="str">
        <f>IF(D483&lt;=0,"",VLOOKUP(D483,[1]FF!A:D,2,0))</f>
        <v>PARTICIPACIONES Ramo 28</v>
      </c>
      <c r="F483" s="37" t="s">
        <v>547</v>
      </c>
      <c r="G483" s="37" t="s">
        <v>461</v>
      </c>
      <c r="H483" s="49">
        <v>294001</v>
      </c>
      <c r="I483" s="44" t="str">
        <f>IF(H483&lt;=0,"",VLOOKUP(H483,[4]COG!A:H,2,0))</f>
        <v>Dispositivos Internos y Externos de Equipo de Computo</v>
      </c>
      <c r="J483" s="39">
        <v>36975</v>
      </c>
      <c r="K483" s="39">
        <v>36975</v>
      </c>
      <c r="L483" s="50"/>
      <c r="M483" s="50"/>
      <c r="N483" s="1">
        <f>Tabla5[[#This Row],[TRIMESTRE  I]]+Tabla5[[#This Row],[TRIMESTRE II]]+Tabla5[[#This Row],[TRIMESTRE III]]+Tabla5[[#This Row],[TRIMESTRE IV]]</f>
        <v>73950</v>
      </c>
      <c r="O483" s="39"/>
      <c r="P483" s="39"/>
      <c r="Q483" s="59"/>
    </row>
    <row r="484" spans="2:17" ht="18" x14ac:dyDescent="0.2">
      <c r="B484" s="46">
        <v>510068</v>
      </c>
      <c r="C484" s="47" t="s">
        <v>523</v>
      </c>
      <c r="D484" s="48">
        <v>530</v>
      </c>
      <c r="E484" s="43" t="str">
        <f>IF(D484&lt;=0,"",VLOOKUP(D484,[1]FF!A:D,2,0))</f>
        <v>PARTICIPACIONES Ramo 28</v>
      </c>
      <c r="F484" s="37" t="s">
        <v>547</v>
      </c>
      <c r="G484" s="37" t="s">
        <v>461</v>
      </c>
      <c r="H484" s="49">
        <v>294002</v>
      </c>
      <c r="I484" s="44" t="str">
        <f>IF(H484&lt;=0,"",VLOOKUP(H484,[4]COG!A:H,2,0))</f>
        <v>Refacciones y Accesorios Menores de Equipo de Computo</v>
      </c>
      <c r="J484" s="39">
        <v>0</v>
      </c>
      <c r="K484" s="39">
        <v>0</v>
      </c>
      <c r="L484" s="50"/>
      <c r="M484" s="50"/>
      <c r="N484" s="1">
        <f>Tabla5[[#This Row],[TRIMESTRE  I]]+Tabla5[[#This Row],[TRIMESTRE II]]+Tabla5[[#This Row],[TRIMESTRE III]]+Tabla5[[#This Row],[TRIMESTRE IV]]</f>
        <v>0</v>
      </c>
      <c r="O484" s="39"/>
      <c r="P484" s="39"/>
      <c r="Q484" s="59"/>
    </row>
    <row r="485" spans="2:17" x14ac:dyDescent="0.2">
      <c r="B485" s="46">
        <v>510068</v>
      </c>
      <c r="C485" s="47" t="s">
        <v>523</v>
      </c>
      <c r="D485" s="48">
        <v>530</v>
      </c>
      <c r="E485" s="43" t="str">
        <f>IF(D485&lt;=0,"",VLOOKUP(D485,[1]FF!A:D,2,0))</f>
        <v>PARTICIPACIONES Ramo 28</v>
      </c>
      <c r="F485" s="37" t="s">
        <v>547</v>
      </c>
      <c r="G485" s="37" t="s">
        <v>461</v>
      </c>
      <c r="H485" s="49">
        <v>296001</v>
      </c>
      <c r="I485" s="44" t="str">
        <f>IF(H485&lt;=0,"",VLOOKUP(H485,[4]COG!A:H,2,0))</f>
        <v>Herramientas, refacciones y accesorios</v>
      </c>
      <c r="J485" s="39">
        <v>69147</v>
      </c>
      <c r="K485" s="39">
        <v>62725</v>
      </c>
      <c r="L485" s="50"/>
      <c r="M485" s="50"/>
      <c r="N485" s="1">
        <f>Tabla5[[#This Row],[TRIMESTRE  I]]+Tabla5[[#This Row],[TRIMESTRE II]]+Tabla5[[#This Row],[TRIMESTRE III]]+Tabla5[[#This Row],[TRIMESTRE IV]]</f>
        <v>131872</v>
      </c>
      <c r="O485" s="39"/>
      <c r="P485" s="39"/>
      <c r="Q485" s="59"/>
    </row>
    <row r="486" spans="2:17" ht="18" x14ac:dyDescent="0.2">
      <c r="B486" s="46">
        <v>510068</v>
      </c>
      <c r="C486" s="47" t="s">
        <v>523</v>
      </c>
      <c r="D486" s="48">
        <v>530</v>
      </c>
      <c r="E486" s="43" t="str">
        <f>IF(D486&lt;=0,"",VLOOKUP(D486,[1]FF!A:D,2,0))</f>
        <v>PARTICIPACIONES Ramo 28</v>
      </c>
      <c r="F486" s="37" t="s">
        <v>547</v>
      </c>
      <c r="G486" s="37" t="s">
        <v>461</v>
      </c>
      <c r="H486" s="49">
        <v>299001</v>
      </c>
      <c r="I486" s="44" t="str">
        <f>IF(H486&lt;=0,"",VLOOKUP(H486,[4]COG!A:H,2,0))</f>
        <v>Refacciones y accesorios menores otros bienes muebles</v>
      </c>
      <c r="J486" s="39">
        <v>0</v>
      </c>
      <c r="K486" s="39">
        <v>0</v>
      </c>
      <c r="L486" s="50"/>
      <c r="M486" s="50"/>
      <c r="N486" s="1">
        <f>Tabla5[[#This Row],[TRIMESTRE  I]]+Tabla5[[#This Row],[TRIMESTRE II]]+Tabla5[[#This Row],[TRIMESTRE III]]+Tabla5[[#This Row],[TRIMESTRE IV]]</f>
        <v>0</v>
      </c>
      <c r="O486" s="39"/>
      <c r="P486" s="39"/>
      <c r="Q486" s="59"/>
    </row>
    <row r="487" spans="2:17" ht="33.75" x14ac:dyDescent="0.2">
      <c r="B487" s="46">
        <v>510072</v>
      </c>
      <c r="C487" s="47" t="s">
        <v>523</v>
      </c>
      <c r="D487" s="48">
        <v>530</v>
      </c>
      <c r="E487" s="43" t="str">
        <f>IF(D487&lt;=0,"",VLOOKUP(D487,[1]FF!A:D,2,0))</f>
        <v>PARTICIPACIONES Ramo 28</v>
      </c>
      <c r="F487" s="37" t="s">
        <v>548</v>
      </c>
      <c r="G487" s="37" t="s">
        <v>461</v>
      </c>
      <c r="H487" s="49">
        <v>211001</v>
      </c>
      <c r="I487" s="44" t="str">
        <f>IF(H487&lt;=0,"",VLOOKUP(H487,[4]COG!A:H,2,0))</f>
        <v>Material de oficina</v>
      </c>
      <c r="J487" s="39">
        <v>1611</v>
      </c>
      <c r="K487" s="39">
        <v>1669</v>
      </c>
      <c r="L487" s="50"/>
      <c r="M487" s="50"/>
      <c r="N487" s="1">
        <f>Tabla5[[#This Row],[TRIMESTRE  I]]+Tabla5[[#This Row],[TRIMESTRE II]]+Tabla5[[#This Row],[TRIMESTRE III]]+Tabla5[[#This Row],[TRIMESTRE IV]]</f>
        <v>3280</v>
      </c>
      <c r="O487" s="39"/>
      <c r="P487" s="39"/>
      <c r="Q487" s="59"/>
    </row>
    <row r="488" spans="2:17" ht="33.75" x14ac:dyDescent="0.2">
      <c r="B488" s="46">
        <v>510072</v>
      </c>
      <c r="C488" s="47" t="s">
        <v>523</v>
      </c>
      <c r="D488" s="48">
        <v>530</v>
      </c>
      <c r="E488" s="43" t="str">
        <f>IF(D488&lt;=0,"",VLOOKUP(D488,[1]FF!A:D,2,0))</f>
        <v>PARTICIPACIONES Ramo 28</v>
      </c>
      <c r="F488" s="37" t="s">
        <v>548</v>
      </c>
      <c r="G488" s="37" t="s">
        <v>461</v>
      </c>
      <c r="H488" s="49">
        <v>212001</v>
      </c>
      <c r="I488" s="44" t="str">
        <f>IF(H488&lt;=0,"",VLOOKUP(H488,[4]COG!A:H,2,0))</f>
        <v>Material y útiles de impresión</v>
      </c>
      <c r="J488" s="39">
        <v>783</v>
      </c>
      <c r="K488" s="39">
        <v>783</v>
      </c>
      <c r="L488" s="50"/>
      <c r="M488" s="50"/>
      <c r="N488" s="1">
        <f>Tabla5[[#This Row],[TRIMESTRE  I]]+Tabla5[[#This Row],[TRIMESTRE II]]+Tabla5[[#This Row],[TRIMESTRE III]]+Tabla5[[#This Row],[TRIMESTRE IV]]</f>
        <v>1566</v>
      </c>
      <c r="O488" s="39"/>
      <c r="P488" s="39"/>
      <c r="Q488" s="59"/>
    </row>
    <row r="489" spans="2:17" ht="33.75" x14ac:dyDescent="0.2">
      <c r="B489" s="46">
        <v>510072</v>
      </c>
      <c r="C489" s="47" t="s">
        <v>523</v>
      </c>
      <c r="D489" s="48">
        <v>530</v>
      </c>
      <c r="E489" s="43" t="str">
        <f>IF(D489&lt;=0,"",VLOOKUP(D489,[1]FF!A:D,2,0))</f>
        <v>PARTICIPACIONES Ramo 28</v>
      </c>
      <c r="F489" s="37" t="s">
        <v>548</v>
      </c>
      <c r="G489" s="37" t="s">
        <v>461</v>
      </c>
      <c r="H489" s="49">
        <v>215001</v>
      </c>
      <c r="I489" s="44" t="str">
        <f>IF(H489&lt;=0,"",VLOOKUP(H489,[4]COG!A:H,2,0))</f>
        <v>Material didáctico</v>
      </c>
      <c r="J489" s="39">
        <v>16293</v>
      </c>
      <c r="K489" s="39">
        <v>16293</v>
      </c>
      <c r="L489" s="50"/>
      <c r="M489" s="50"/>
      <c r="N489" s="1">
        <f>Tabla5[[#This Row],[TRIMESTRE  I]]+Tabla5[[#This Row],[TRIMESTRE II]]+Tabla5[[#This Row],[TRIMESTRE III]]+Tabla5[[#This Row],[TRIMESTRE IV]]</f>
        <v>32586</v>
      </c>
      <c r="O489" s="39"/>
      <c r="P489" s="39"/>
      <c r="Q489" s="59"/>
    </row>
    <row r="490" spans="2:17" ht="33.75" x14ac:dyDescent="0.2">
      <c r="B490" s="46">
        <v>510072</v>
      </c>
      <c r="C490" s="47" t="s">
        <v>523</v>
      </c>
      <c r="D490" s="48">
        <v>530</v>
      </c>
      <c r="E490" s="43" t="str">
        <f>IF(D490&lt;=0,"",VLOOKUP(D490,[1]FF!A:D,2,0))</f>
        <v>PARTICIPACIONES Ramo 28</v>
      </c>
      <c r="F490" s="37" t="s">
        <v>548</v>
      </c>
      <c r="G490" s="37" t="s">
        <v>461</v>
      </c>
      <c r="H490" s="49">
        <v>246001</v>
      </c>
      <c r="I490" s="44" t="str">
        <f>IF(H490&lt;=0,"",VLOOKUP(H490,[4]COG!A:H,2,0))</f>
        <v>Material eléctrico</v>
      </c>
      <c r="J490" s="39">
        <v>1761</v>
      </c>
      <c r="K490" s="39">
        <v>1761</v>
      </c>
      <c r="L490" s="50"/>
      <c r="M490" s="50"/>
      <c r="N490" s="1">
        <f>Tabla5[[#This Row],[TRIMESTRE  I]]+Tabla5[[#This Row],[TRIMESTRE II]]+Tabla5[[#This Row],[TRIMESTRE III]]+Tabla5[[#This Row],[TRIMESTRE IV]]</f>
        <v>3522</v>
      </c>
      <c r="O490" s="39"/>
      <c r="P490" s="39"/>
      <c r="Q490" s="59"/>
    </row>
    <row r="491" spans="2:17" ht="33.75" x14ac:dyDescent="0.2">
      <c r="B491" s="46">
        <v>510072</v>
      </c>
      <c r="C491" s="47" t="s">
        <v>523</v>
      </c>
      <c r="D491" s="48">
        <v>530</v>
      </c>
      <c r="E491" s="43" t="str">
        <f>IF(D491&lt;=0,"",VLOOKUP(D491,[1]FF!A:D,2,0))</f>
        <v>PARTICIPACIONES Ramo 28</v>
      </c>
      <c r="F491" s="37" t="s">
        <v>548</v>
      </c>
      <c r="G491" s="37" t="s">
        <v>461</v>
      </c>
      <c r="H491" s="49">
        <v>271001</v>
      </c>
      <c r="I491" s="44" t="str">
        <f>IF(H491&lt;=0,"",VLOOKUP(H491,[4]COG!A:H,2,0))</f>
        <v>Ropa, vestuario y equipo</v>
      </c>
      <c r="J491" s="39">
        <v>1329</v>
      </c>
      <c r="K491" s="39">
        <v>1329</v>
      </c>
      <c r="L491" s="50"/>
      <c r="M491" s="50"/>
      <c r="N491" s="1">
        <f>Tabla5[[#This Row],[TRIMESTRE  I]]+Tabla5[[#This Row],[TRIMESTRE II]]+Tabla5[[#This Row],[TRIMESTRE III]]+Tabla5[[#This Row],[TRIMESTRE IV]]</f>
        <v>2658</v>
      </c>
      <c r="O491" s="39"/>
      <c r="P491" s="39"/>
      <c r="Q491" s="59"/>
    </row>
    <row r="492" spans="2:17" ht="33.75" x14ac:dyDescent="0.2">
      <c r="B492" s="46">
        <v>510072</v>
      </c>
      <c r="C492" s="47" t="s">
        <v>523</v>
      </c>
      <c r="D492" s="48">
        <v>530</v>
      </c>
      <c r="E492" s="43" t="str">
        <f>IF(D492&lt;=0,"",VLOOKUP(D492,[1]FF!A:D,2,0))</f>
        <v>PARTICIPACIONES Ramo 28</v>
      </c>
      <c r="F492" s="37" t="s">
        <v>548</v>
      </c>
      <c r="G492" s="37" t="s">
        <v>461</v>
      </c>
      <c r="H492" s="49">
        <v>296001</v>
      </c>
      <c r="I492" s="44" t="str">
        <f>IF(H492&lt;=0,"",VLOOKUP(H492,[4]COG!A:H,2,0))</f>
        <v>Herramientas, refacciones y accesorios</v>
      </c>
      <c r="J492" s="39">
        <v>9999</v>
      </c>
      <c r="K492" s="39">
        <v>9999</v>
      </c>
      <c r="L492" s="50"/>
      <c r="M492" s="50"/>
      <c r="N492" s="1">
        <f>Tabla5[[#This Row],[TRIMESTRE  I]]+Tabla5[[#This Row],[TRIMESTRE II]]+Tabla5[[#This Row],[TRIMESTRE III]]+Tabla5[[#This Row],[TRIMESTRE IV]]</f>
        <v>19998</v>
      </c>
      <c r="O492" s="39"/>
      <c r="P492" s="39"/>
      <c r="Q492" s="59"/>
    </row>
    <row r="493" spans="2:17" ht="22.5" x14ac:dyDescent="0.2">
      <c r="B493" s="46">
        <v>511073</v>
      </c>
      <c r="C493" s="47" t="s">
        <v>523</v>
      </c>
      <c r="D493" s="48">
        <v>530</v>
      </c>
      <c r="E493" s="43" t="str">
        <f>IF(D493&lt;=0,"",VLOOKUP(D493,[1]FF!A:D,2,0))</f>
        <v>PARTICIPACIONES Ramo 28</v>
      </c>
      <c r="F493" s="37" t="s">
        <v>549</v>
      </c>
      <c r="G493" s="37" t="s">
        <v>461</v>
      </c>
      <c r="H493" s="49">
        <v>211001</v>
      </c>
      <c r="I493" s="44" t="str">
        <f>IF(H493&lt;=0,"",VLOOKUP(H493,[4]COG!A:H,2,0))</f>
        <v>Material de oficina</v>
      </c>
      <c r="J493" s="39">
        <v>8997</v>
      </c>
      <c r="K493" s="39">
        <v>9043</v>
      </c>
      <c r="L493" s="50"/>
      <c r="M493" s="50"/>
      <c r="N493" s="1">
        <f>Tabla5[[#This Row],[TRIMESTRE  I]]+Tabla5[[#This Row],[TRIMESTRE II]]+Tabla5[[#This Row],[TRIMESTRE III]]+Tabla5[[#This Row],[TRIMESTRE IV]]</f>
        <v>18040</v>
      </c>
      <c r="O493" s="39"/>
      <c r="P493" s="39"/>
      <c r="Q493" s="59"/>
    </row>
    <row r="494" spans="2:17" ht="22.5" x14ac:dyDescent="0.2">
      <c r="B494" s="46">
        <v>511073</v>
      </c>
      <c r="C494" s="47" t="s">
        <v>523</v>
      </c>
      <c r="D494" s="48">
        <v>530</v>
      </c>
      <c r="E494" s="43" t="str">
        <f>IF(D494&lt;=0,"",VLOOKUP(D494,[1]FF!A:D,2,0))</f>
        <v>PARTICIPACIONES Ramo 28</v>
      </c>
      <c r="F494" s="37" t="s">
        <v>549</v>
      </c>
      <c r="G494" s="37" t="s">
        <v>461</v>
      </c>
      <c r="H494" s="49">
        <v>212001</v>
      </c>
      <c r="I494" s="44" t="str">
        <f>IF(H494&lt;=0,"",VLOOKUP(H494,[4]COG!A:H,2,0))</f>
        <v>Material y útiles de impresión</v>
      </c>
      <c r="J494" s="39">
        <v>9159</v>
      </c>
      <c r="K494" s="39">
        <v>9158</v>
      </c>
      <c r="L494" s="50"/>
      <c r="M494" s="50"/>
      <c r="N494" s="1">
        <f>Tabla5[[#This Row],[TRIMESTRE  I]]+Tabla5[[#This Row],[TRIMESTRE II]]+Tabla5[[#This Row],[TRIMESTRE III]]+Tabla5[[#This Row],[TRIMESTRE IV]]</f>
        <v>18317</v>
      </c>
      <c r="O494" s="39"/>
      <c r="P494" s="39"/>
      <c r="Q494" s="59"/>
    </row>
    <row r="495" spans="2:17" ht="27" x14ac:dyDescent="0.2">
      <c r="B495" s="46">
        <v>511073</v>
      </c>
      <c r="C495" s="47" t="s">
        <v>523</v>
      </c>
      <c r="D495" s="48">
        <v>530</v>
      </c>
      <c r="E495" s="43" t="str">
        <f>IF(D495&lt;=0,"",VLOOKUP(D495,[1]FF!A:D,2,0))</f>
        <v>PARTICIPACIONES Ramo 28</v>
      </c>
      <c r="F495" s="37" t="s">
        <v>549</v>
      </c>
      <c r="G495" s="37" t="s">
        <v>461</v>
      </c>
      <c r="H495" s="49">
        <v>214001</v>
      </c>
      <c r="I495" s="44" t="str">
        <f>IF(H495&lt;=0,"",VLOOKUP(H495,[4]COG!A:H,2,0))</f>
        <v>Materiales, útiles y equipos menores de tecnologías de la información y comunicaciones</v>
      </c>
      <c r="J495" s="39">
        <v>34425</v>
      </c>
      <c r="K495" s="39">
        <v>34425</v>
      </c>
      <c r="L495" s="50"/>
      <c r="M495" s="50"/>
      <c r="N495" s="1">
        <f>Tabla5[[#This Row],[TRIMESTRE  I]]+Tabla5[[#This Row],[TRIMESTRE II]]+Tabla5[[#This Row],[TRIMESTRE III]]+Tabla5[[#This Row],[TRIMESTRE IV]]</f>
        <v>68850</v>
      </c>
      <c r="O495" s="39"/>
      <c r="P495" s="39"/>
      <c r="Q495" s="59"/>
    </row>
    <row r="496" spans="2:17" ht="22.5" x14ac:dyDescent="0.2">
      <c r="B496" s="46">
        <v>511073</v>
      </c>
      <c r="C496" s="47" t="s">
        <v>523</v>
      </c>
      <c r="D496" s="48">
        <v>530</v>
      </c>
      <c r="E496" s="43" t="str">
        <f>IF(D496&lt;=0,"",VLOOKUP(D496,[1]FF!A:D,2,0))</f>
        <v>PARTICIPACIONES Ramo 28</v>
      </c>
      <c r="F496" s="37" t="s">
        <v>549</v>
      </c>
      <c r="G496" s="37" t="s">
        <v>461</v>
      </c>
      <c r="H496" s="49">
        <v>215001</v>
      </c>
      <c r="I496" s="44" t="str">
        <f>IF(H496&lt;=0,"",VLOOKUP(H496,[4]COG!A:H,2,0))</f>
        <v>Material didáctico</v>
      </c>
      <c r="J496" s="39">
        <v>0</v>
      </c>
      <c r="K496" s="39">
        <v>0</v>
      </c>
      <c r="L496" s="50"/>
      <c r="M496" s="50"/>
      <c r="N496" s="1">
        <f>Tabla5[[#This Row],[TRIMESTRE  I]]+Tabla5[[#This Row],[TRIMESTRE II]]+Tabla5[[#This Row],[TRIMESTRE III]]+Tabla5[[#This Row],[TRIMESTRE IV]]</f>
        <v>0</v>
      </c>
      <c r="O496" s="39"/>
      <c r="P496" s="39"/>
      <c r="Q496" s="59"/>
    </row>
    <row r="497" spans="2:17" ht="22.5" x14ac:dyDescent="0.2">
      <c r="B497" s="46">
        <v>511073</v>
      </c>
      <c r="C497" s="47" t="s">
        <v>523</v>
      </c>
      <c r="D497" s="48">
        <v>530</v>
      </c>
      <c r="E497" s="43" t="str">
        <f>IF(D497&lt;=0,"",VLOOKUP(D497,[1]FF!A:D,2,0))</f>
        <v>PARTICIPACIONES Ramo 28</v>
      </c>
      <c r="F497" s="37" t="s">
        <v>549</v>
      </c>
      <c r="G497" s="37" t="s">
        <v>461</v>
      </c>
      <c r="H497" s="49">
        <v>216001</v>
      </c>
      <c r="I497" s="44" t="str">
        <f>IF(H497&lt;=0,"",VLOOKUP(H497,[4]COG!A:H,2,0))</f>
        <v>Material de limpieza</v>
      </c>
      <c r="J497" s="39">
        <v>3663</v>
      </c>
      <c r="K497" s="39">
        <v>3663</v>
      </c>
      <c r="L497" s="50"/>
      <c r="M497" s="50"/>
      <c r="N497" s="1">
        <f>Tabla5[[#This Row],[TRIMESTRE  I]]+Tabla5[[#This Row],[TRIMESTRE II]]+Tabla5[[#This Row],[TRIMESTRE III]]+Tabla5[[#This Row],[TRIMESTRE IV]]</f>
        <v>7326</v>
      </c>
      <c r="O497" s="39"/>
      <c r="P497" s="39"/>
      <c r="Q497" s="59"/>
    </row>
    <row r="498" spans="2:17" ht="22.5" x14ac:dyDescent="0.2">
      <c r="B498" s="46">
        <v>511073</v>
      </c>
      <c r="C498" s="47" t="s">
        <v>523</v>
      </c>
      <c r="D498" s="48">
        <v>530</v>
      </c>
      <c r="E498" s="43" t="str">
        <f>IF(D498&lt;=0,"",VLOOKUP(D498,[1]FF!A:D,2,0))</f>
        <v>PARTICIPACIONES Ramo 28</v>
      </c>
      <c r="F498" s="37" t="s">
        <v>549</v>
      </c>
      <c r="G498" s="37" t="s">
        <v>461</v>
      </c>
      <c r="H498" s="49">
        <v>221001</v>
      </c>
      <c r="I498" s="44" t="str">
        <f>IF(H498&lt;=0,"",VLOOKUP(H498,[4]COG!A:H,2,0))</f>
        <v>Alimentación de personas</v>
      </c>
      <c r="J498" s="39">
        <v>0</v>
      </c>
      <c r="K498" s="39">
        <v>0</v>
      </c>
      <c r="L498" s="50"/>
      <c r="M498" s="50"/>
      <c r="N498" s="1">
        <f>Tabla5[[#This Row],[TRIMESTRE  I]]+Tabla5[[#This Row],[TRIMESTRE II]]+Tabla5[[#This Row],[TRIMESTRE III]]+Tabla5[[#This Row],[TRIMESTRE IV]]</f>
        <v>0</v>
      </c>
      <c r="O498" s="39"/>
      <c r="P498" s="39"/>
      <c r="Q498" s="59"/>
    </row>
    <row r="499" spans="2:17" ht="22.5" x14ac:dyDescent="0.2">
      <c r="B499" s="46">
        <v>511073</v>
      </c>
      <c r="C499" s="47" t="s">
        <v>523</v>
      </c>
      <c r="D499" s="48">
        <v>530</v>
      </c>
      <c r="E499" s="43" t="str">
        <f>IF(D499&lt;=0,"",VLOOKUP(D499,[1]FF!A:D,2,0))</f>
        <v>PARTICIPACIONES Ramo 28</v>
      </c>
      <c r="F499" s="37" t="s">
        <v>549</v>
      </c>
      <c r="G499" s="37" t="s">
        <v>461</v>
      </c>
      <c r="H499" s="49">
        <v>245001</v>
      </c>
      <c r="I499" s="44" t="str">
        <f>IF(H499&lt;=0,"",VLOOKUP(H499,[4]COG!A:H,2,0))</f>
        <v>Vidrio y productos de vidrio</v>
      </c>
      <c r="J499" s="39">
        <v>0</v>
      </c>
      <c r="K499" s="39">
        <v>0</v>
      </c>
      <c r="L499" s="50"/>
      <c r="M499" s="50"/>
      <c r="N499" s="1">
        <f>Tabla5[[#This Row],[TRIMESTRE  I]]+Tabla5[[#This Row],[TRIMESTRE II]]+Tabla5[[#This Row],[TRIMESTRE III]]+Tabla5[[#This Row],[TRIMESTRE IV]]</f>
        <v>0</v>
      </c>
      <c r="O499" s="39"/>
      <c r="P499" s="39"/>
      <c r="Q499" s="59"/>
    </row>
    <row r="500" spans="2:17" ht="22.5" x14ac:dyDescent="0.2">
      <c r="B500" s="46">
        <v>511073</v>
      </c>
      <c r="C500" s="47" t="s">
        <v>523</v>
      </c>
      <c r="D500" s="48">
        <v>530</v>
      </c>
      <c r="E500" s="43" t="str">
        <f>IF(D500&lt;=0,"",VLOOKUP(D500,[1]FF!A:D,2,0))</f>
        <v>PARTICIPACIONES Ramo 28</v>
      </c>
      <c r="F500" s="37" t="s">
        <v>549</v>
      </c>
      <c r="G500" s="37" t="s">
        <v>461</v>
      </c>
      <c r="H500" s="49">
        <v>246001</v>
      </c>
      <c r="I500" s="44" t="str">
        <f>IF(H500&lt;=0,"",VLOOKUP(H500,[4]COG!A:H,2,0))</f>
        <v>Material eléctrico</v>
      </c>
      <c r="J500" s="39">
        <v>26913</v>
      </c>
      <c r="K500" s="39">
        <v>26913</v>
      </c>
      <c r="L500" s="50"/>
      <c r="M500" s="50"/>
      <c r="N500" s="1">
        <f>Tabla5[[#This Row],[TRIMESTRE  I]]+Tabla5[[#This Row],[TRIMESTRE II]]+Tabla5[[#This Row],[TRIMESTRE III]]+Tabla5[[#This Row],[TRIMESTRE IV]]</f>
        <v>53826</v>
      </c>
      <c r="O500" s="39"/>
      <c r="P500" s="39"/>
      <c r="Q500" s="59"/>
    </row>
    <row r="501" spans="2:17" ht="22.5" x14ac:dyDescent="0.2">
      <c r="B501" s="46">
        <v>511073</v>
      </c>
      <c r="C501" s="47" t="s">
        <v>523</v>
      </c>
      <c r="D501" s="48">
        <v>530</v>
      </c>
      <c r="E501" s="43" t="str">
        <f>IF(D501&lt;=0,"",VLOOKUP(D501,[1]FF!A:D,2,0))</f>
        <v>PARTICIPACIONES Ramo 28</v>
      </c>
      <c r="F501" s="37" t="s">
        <v>549</v>
      </c>
      <c r="G501" s="37" t="s">
        <v>461</v>
      </c>
      <c r="H501" s="49">
        <v>247001</v>
      </c>
      <c r="I501" s="44" t="str">
        <f>IF(H501&lt;=0,"",VLOOKUP(H501,[4]COG!A:H,2,0))</f>
        <v>Artículos metálicos para la construcción</v>
      </c>
      <c r="J501" s="39">
        <v>0</v>
      </c>
      <c r="K501" s="39">
        <v>0</v>
      </c>
      <c r="L501" s="50"/>
      <c r="M501" s="50"/>
      <c r="N501" s="1">
        <f>Tabla5[[#This Row],[TRIMESTRE  I]]+Tabla5[[#This Row],[TRIMESTRE II]]+Tabla5[[#This Row],[TRIMESTRE III]]+Tabla5[[#This Row],[TRIMESTRE IV]]</f>
        <v>0</v>
      </c>
      <c r="O501" s="39"/>
      <c r="P501" s="39"/>
      <c r="Q501" s="59"/>
    </row>
    <row r="502" spans="2:17" ht="22.5" x14ac:dyDescent="0.2">
      <c r="B502" s="46">
        <v>511073</v>
      </c>
      <c r="C502" s="47" t="s">
        <v>523</v>
      </c>
      <c r="D502" s="48">
        <v>530</v>
      </c>
      <c r="E502" s="43" t="str">
        <f>IF(D502&lt;=0,"",VLOOKUP(D502,[1]FF!A:D,2,0))</f>
        <v>PARTICIPACIONES Ramo 28</v>
      </c>
      <c r="F502" s="37" t="s">
        <v>549</v>
      </c>
      <c r="G502" s="37" t="s">
        <v>461</v>
      </c>
      <c r="H502" s="49">
        <v>249001</v>
      </c>
      <c r="I502" s="44" t="str">
        <f>IF(H502&lt;=0,"",VLOOKUP(H502,[4]COG!A:H,2,0))</f>
        <v>Materiales de construcción y complementarios</v>
      </c>
      <c r="J502" s="39">
        <v>2688</v>
      </c>
      <c r="K502" s="39">
        <v>2688</v>
      </c>
      <c r="L502" s="50"/>
      <c r="M502" s="50"/>
      <c r="N502" s="1">
        <f>Tabla5[[#This Row],[TRIMESTRE  I]]+Tabla5[[#This Row],[TRIMESTRE II]]+Tabla5[[#This Row],[TRIMESTRE III]]+Tabla5[[#This Row],[TRIMESTRE IV]]</f>
        <v>5376</v>
      </c>
      <c r="O502" s="39"/>
      <c r="P502" s="39"/>
      <c r="Q502" s="59"/>
    </row>
    <row r="503" spans="2:17" ht="22.5" x14ac:dyDescent="0.2">
      <c r="B503" s="46">
        <v>511073</v>
      </c>
      <c r="C503" s="47" t="s">
        <v>523</v>
      </c>
      <c r="D503" s="48">
        <v>530</v>
      </c>
      <c r="E503" s="43" t="str">
        <f>IF(D503&lt;=0,"",VLOOKUP(D503,[1]FF!A:D,2,0))</f>
        <v>PARTICIPACIONES Ramo 28</v>
      </c>
      <c r="F503" s="37" t="s">
        <v>549</v>
      </c>
      <c r="G503" s="37" t="s">
        <v>461</v>
      </c>
      <c r="H503" s="49">
        <v>253001</v>
      </c>
      <c r="I503" s="44" t="str">
        <f>IF(H503&lt;=0,"",VLOOKUP(H503,[4]COG!A:H,2,0))</f>
        <v>Material y productos químicos, farmacéuticos</v>
      </c>
      <c r="J503" s="39">
        <v>0</v>
      </c>
      <c r="K503" s="39">
        <v>0</v>
      </c>
      <c r="L503" s="50"/>
      <c r="M503" s="50"/>
      <c r="N503" s="1">
        <f>Tabla5[[#This Row],[TRIMESTRE  I]]+Tabla5[[#This Row],[TRIMESTRE II]]+Tabla5[[#This Row],[TRIMESTRE III]]+Tabla5[[#This Row],[TRIMESTRE IV]]</f>
        <v>0</v>
      </c>
      <c r="O503" s="39"/>
      <c r="P503" s="39"/>
      <c r="Q503" s="59"/>
    </row>
    <row r="504" spans="2:17" ht="22.5" x14ac:dyDescent="0.2">
      <c r="B504" s="46">
        <v>511073</v>
      </c>
      <c r="C504" s="47" t="s">
        <v>523</v>
      </c>
      <c r="D504" s="48">
        <v>530</v>
      </c>
      <c r="E504" s="43" t="str">
        <f>IF(D504&lt;=0,"",VLOOKUP(D504,[1]FF!A:D,2,0))</f>
        <v>PARTICIPACIONES Ramo 28</v>
      </c>
      <c r="F504" s="37" t="s">
        <v>549</v>
      </c>
      <c r="G504" s="37" t="s">
        <v>461</v>
      </c>
      <c r="H504" s="49">
        <v>261001</v>
      </c>
      <c r="I504" s="44" t="str">
        <f>IF(H504&lt;=0,"",VLOOKUP(H504,[4]COG!A:H,2,0))</f>
        <v>Combustibles</v>
      </c>
      <c r="J504" s="39">
        <v>10866</v>
      </c>
      <c r="K504" s="39">
        <v>10865</v>
      </c>
      <c r="L504" s="50"/>
      <c r="M504" s="50"/>
      <c r="N504" s="1">
        <f>Tabla5[[#This Row],[TRIMESTRE  I]]+Tabla5[[#This Row],[TRIMESTRE II]]+Tabla5[[#This Row],[TRIMESTRE III]]+Tabla5[[#This Row],[TRIMESTRE IV]]</f>
        <v>21731</v>
      </c>
      <c r="O504" s="39"/>
      <c r="P504" s="39"/>
      <c r="Q504" s="59"/>
    </row>
    <row r="505" spans="2:17" ht="22.5" x14ac:dyDescent="0.2">
      <c r="B505" s="46">
        <v>511073</v>
      </c>
      <c r="C505" s="47" t="s">
        <v>523</v>
      </c>
      <c r="D505" s="48">
        <v>530</v>
      </c>
      <c r="E505" s="43" t="str">
        <f>IF(D505&lt;=0,"",VLOOKUP(D505,[1]FF!A:D,2,0))</f>
        <v>PARTICIPACIONES Ramo 28</v>
      </c>
      <c r="F505" s="37" t="s">
        <v>549</v>
      </c>
      <c r="G505" s="37" t="s">
        <v>461</v>
      </c>
      <c r="H505" s="49">
        <v>261002</v>
      </c>
      <c r="I505" s="44" t="str">
        <f>IF(H505&lt;=0,"",VLOOKUP(H505,[4]COG!A:H,2,0))</f>
        <v>Lubricantes y aditivos</v>
      </c>
      <c r="J505" s="39">
        <v>915</v>
      </c>
      <c r="K505" s="39">
        <v>915</v>
      </c>
      <c r="L505" s="50"/>
      <c r="M505" s="50"/>
      <c r="N505" s="1">
        <f>Tabla5[[#This Row],[TRIMESTRE  I]]+Tabla5[[#This Row],[TRIMESTRE II]]+Tabla5[[#This Row],[TRIMESTRE III]]+Tabla5[[#This Row],[TRIMESTRE IV]]</f>
        <v>1830</v>
      </c>
      <c r="O505" s="39"/>
      <c r="P505" s="39"/>
      <c r="Q505" s="59"/>
    </row>
    <row r="506" spans="2:17" ht="22.5" x14ac:dyDescent="0.2">
      <c r="B506" s="46">
        <v>511073</v>
      </c>
      <c r="C506" s="47" t="s">
        <v>523</v>
      </c>
      <c r="D506" s="48">
        <v>530</v>
      </c>
      <c r="E506" s="43" t="str">
        <f>IF(D506&lt;=0,"",VLOOKUP(D506,[1]FF!A:D,2,0))</f>
        <v>PARTICIPACIONES Ramo 28</v>
      </c>
      <c r="F506" s="37" t="s">
        <v>549</v>
      </c>
      <c r="G506" s="37" t="s">
        <v>461</v>
      </c>
      <c r="H506" s="49">
        <v>271001</v>
      </c>
      <c r="I506" s="44" t="str">
        <f>IF(H506&lt;=0,"",VLOOKUP(H506,[4]COG!A:H,2,0))</f>
        <v>Ropa, vestuario y equipo</v>
      </c>
      <c r="J506" s="39">
        <v>1401</v>
      </c>
      <c r="K506" s="39">
        <v>1400</v>
      </c>
      <c r="L506" s="50"/>
      <c r="M506" s="50"/>
      <c r="N506" s="1">
        <f>Tabla5[[#This Row],[TRIMESTRE  I]]+Tabla5[[#This Row],[TRIMESTRE II]]+Tabla5[[#This Row],[TRIMESTRE III]]+Tabla5[[#This Row],[TRIMESTRE IV]]</f>
        <v>2801</v>
      </c>
      <c r="O506" s="39"/>
      <c r="P506" s="39"/>
      <c r="Q506" s="59"/>
    </row>
    <row r="507" spans="2:17" ht="22.5" x14ac:dyDescent="0.2">
      <c r="B507" s="46">
        <v>511073</v>
      </c>
      <c r="C507" s="47" t="s">
        <v>523</v>
      </c>
      <c r="D507" s="48">
        <v>530</v>
      </c>
      <c r="E507" s="43" t="str">
        <f>IF(D507&lt;=0,"",VLOOKUP(D507,[1]FF!A:D,2,0))</f>
        <v>PARTICIPACIONES Ramo 28</v>
      </c>
      <c r="F507" s="37" t="s">
        <v>549</v>
      </c>
      <c r="G507" s="37" t="s">
        <v>461</v>
      </c>
      <c r="H507" s="49">
        <v>272002</v>
      </c>
      <c r="I507" s="44" t="str">
        <f>IF(H507&lt;=0,"",VLOOKUP(H507,[4]COG!A:H,2,0))</f>
        <v>Prendas de seguridad y protección personal</v>
      </c>
      <c r="J507" s="39">
        <v>0</v>
      </c>
      <c r="K507" s="39">
        <v>0</v>
      </c>
      <c r="L507" s="50"/>
      <c r="M507" s="50"/>
      <c r="N507" s="1">
        <f>Tabla5[[#This Row],[TRIMESTRE  I]]+Tabla5[[#This Row],[TRIMESTRE II]]+Tabla5[[#This Row],[TRIMESTRE III]]+Tabla5[[#This Row],[TRIMESTRE IV]]</f>
        <v>0</v>
      </c>
      <c r="O507" s="39"/>
      <c r="P507" s="39"/>
      <c r="Q507" s="59"/>
    </row>
    <row r="508" spans="2:17" ht="22.5" x14ac:dyDescent="0.2">
      <c r="B508" s="46">
        <v>511073</v>
      </c>
      <c r="C508" s="47" t="s">
        <v>523</v>
      </c>
      <c r="D508" s="48">
        <v>530</v>
      </c>
      <c r="E508" s="43" t="str">
        <f>IF(D508&lt;=0,"",VLOOKUP(D508,[1]FF!A:D,2,0))</f>
        <v>PARTICIPACIONES Ramo 28</v>
      </c>
      <c r="F508" s="37" t="s">
        <v>549</v>
      </c>
      <c r="G508" s="37" t="s">
        <v>461</v>
      </c>
      <c r="H508" s="49">
        <v>291001</v>
      </c>
      <c r="I508" s="44" t="str">
        <f>IF(H508&lt;=0,"",VLOOKUP(H508,[4]COG!A:H,2,0))</f>
        <v>Herramientas Auxiliares de Trabajo</v>
      </c>
      <c r="J508" s="39">
        <v>0</v>
      </c>
      <c r="K508" s="39">
        <v>0</v>
      </c>
      <c r="L508" s="50"/>
      <c r="M508" s="50"/>
      <c r="N508" s="1">
        <f>Tabla5[[#This Row],[TRIMESTRE  I]]+Tabla5[[#This Row],[TRIMESTRE II]]+Tabla5[[#This Row],[TRIMESTRE III]]+Tabla5[[#This Row],[TRIMESTRE IV]]</f>
        <v>0</v>
      </c>
      <c r="O508" s="39"/>
      <c r="P508" s="39"/>
      <c r="Q508" s="59"/>
    </row>
    <row r="509" spans="2:17" ht="27" x14ac:dyDescent="0.2">
      <c r="B509" s="46">
        <v>511073</v>
      </c>
      <c r="C509" s="47" t="s">
        <v>523</v>
      </c>
      <c r="D509" s="48">
        <v>530</v>
      </c>
      <c r="E509" s="43" t="str">
        <f>IF(D509&lt;=0,"",VLOOKUP(D509,[1]FF!A:D,2,0))</f>
        <v>PARTICIPACIONES Ramo 28</v>
      </c>
      <c r="F509" s="37" t="s">
        <v>549</v>
      </c>
      <c r="G509" s="37" t="s">
        <v>461</v>
      </c>
      <c r="H509" s="49">
        <v>293001</v>
      </c>
      <c r="I509" s="44" t="str">
        <f>IF(H509&lt;=0,"",VLOOKUP(H509,[4]COG!A:H,2,0))</f>
        <v>Refacciones y accesorios menores de mobiliario y equipo de administración, educacional y recreativo</v>
      </c>
      <c r="J509" s="39">
        <v>0</v>
      </c>
      <c r="K509" s="39">
        <v>0</v>
      </c>
      <c r="L509" s="50"/>
      <c r="M509" s="50"/>
      <c r="N509" s="1">
        <f>Tabla5[[#This Row],[TRIMESTRE  I]]+Tabla5[[#This Row],[TRIMESTRE II]]+Tabla5[[#This Row],[TRIMESTRE III]]+Tabla5[[#This Row],[TRIMESTRE IV]]</f>
        <v>0</v>
      </c>
      <c r="O509" s="39"/>
      <c r="P509" s="39"/>
      <c r="Q509" s="59"/>
    </row>
    <row r="510" spans="2:17" ht="22.5" x14ac:dyDescent="0.2">
      <c r="B510" s="46">
        <v>511073</v>
      </c>
      <c r="C510" s="47" t="s">
        <v>523</v>
      </c>
      <c r="D510" s="48">
        <v>530</v>
      </c>
      <c r="E510" s="43" t="str">
        <f>IF(D510&lt;=0,"",VLOOKUP(D510,[1]FF!A:D,2,0))</f>
        <v>PARTICIPACIONES Ramo 28</v>
      </c>
      <c r="F510" s="37" t="s">
        <v>549</v>
      </c>
      <c r="G510" s="37" t="s">
        <v>461</v>
      </c>
      <c r="H510" s="49">
        <v>294001</v>
      </c>
      <c r="I510" s="44" t="str">
        <f>IF(H510&lt;=0,"",VLOOKUP(H510,[4]COG!A:H,2,0))</f>
        <v>Dispositivos Internos y Externos de Equipo de Computo</v>
      </c>
      <c r="J510" s="39">
        <v>36975</v>
      </c>
      <c r="K510" s="39">
        <v>36975</v>
      </c>
      <c r="L510" s="50"/>
      <c r="M510" s="50"/>
      <c r="N510" s="1">
        <f>Tabla5[[#This Row],[TRIMESTRE  I]]+Tabla5[[#This Row],[TRIMESTRE II]]+Tabla5[[#This Row],[TRIMESTRE III]]+Tabla5[[#This Row],[TRIMESTRE IV]]</f>
        <v>73950</v>
      </c>
      <c r="O510" s="39"/>
      <c r="P510" s="39"/>
      <c r="Q510" s="59"/>
    </row>
    <row r="511" spans="2:17" ht="22.5" x14ac:dyDescent="0.2">
      <c r="B511" s="46">
        <v>511073</v>
      </c>
      <c r="C511" s="47" t="s">
        <v>523</v>
      </c>
      <c r="D511" s="48">
        <v>530</v>
      </c>
      <c r="E511" s="43" t="str">
        <f>IF(D511&lt;=0,"",VLOOKUP(D511,[1]FF!A:D,2,0))</f>
        <v>PARTICIPACIONES Ramo 28</v>
      </c>
      <c r="F511" s="37" t="s">
        <v>549</v>
      </c>
      <c r="G511" s="37" t="s">
        <v>461</v>
      </c>
      <c r="H511" s="49">
        <v>296001</v>
      </c>
      <c r="I511" s="44" t="str">
        <f>IF(H511&lt;=0,"",VLOOKUP(H511,[4]COG!A:H,2,0))</f>
        <v>Herramientas, refacciones y accesorios</v>
      </c>
      <c r="J511" s="39">
        <v>57489</v>
      </c>
      <c r="K511" s="39">
        <v>57488</v>
      </c>
      <c r="L511" s="50"/>
      <c r="M511" s="50"/>
      <c r="N511" s="1">
        <f>Tabla5[[#This Row],[TRIMESTRE  I]]+Tabla5[[#This Row],[TRIMESTRE II]]+Tabla5[[#This Row],[TRIMESTRE III]]+Tabla5[[#This Row],[TRIMESTRE IV]]</f>
        <v>114977</v>
      </c>
      <c r="O511" s="39"/>
      <c r="P511" s="39"/>
      <c r="Q511" s="59"/>
    </row>
    <row r="512" spans="2:17" ht="22.5" x14ac:dyDescent="0.2">
      <c r="B512" s="46">
        <v>511073</v>
      </c>
      <c r="C512" s="47" t="s">
        <v>523</v>
      </c>
      <c r="D512" s="48">
        <v>530</v>
      </c>
      <c r="E512" s="43" t="str">
        <f>IF(D512&lt;=0,"",VLOOKUP(D512,[1]FF!A:D,2,0))</f>
        <v>PARTICIPACIONES Ramo 28</v>
      </c>
      <c r="F512" s="37" t="s">
        <v>549</v>
      </c>
      <c r="G512" s="37" t="s">
        <v>461</v>
      </c>
      <c r="H512" s="49">
        <v>299001</v>
      </c>
      <c r="I512" s="44" t="str">
        <f>IF(H512&lt;=0,"",VLOOKUP(H512,[4]COG!A:H,2,0))</f>
        <v>Refacciones y accesorios menores otros bienes muebles</v>
      </c>
      <c r="J512" s="39">
        <v>0</v>
      </c>
      <c r="K512" s="39">
        <v>0</v>
      </c>
      <c r="L512" s="50"/>
      <c r="M512" s="50"/>
      <c r="N512" s="1">
        <f>Tabla5[[#This Row],[TRIMESTRE  I]]+Tabla5[[#This Row],[TRIMESTRE II]]+Tabla5[[#This Row],[TRIMESTRE III]]+Tabla5[[#This Row],[TRIMESTRE IV]]</f>
        <v>0</v>
      </c>
      <c r="O512" s="39"/>
      <c r="P512" s="39"/>
      <c r="Q512" s="59"/>
    </row>
    <row r="513" spans="2:17" ht="22.5" x14ac:dyDescent="0.2">
      <c r="B513" s="46">
        <v>513078</v>
      </c>
      <c r="C513" s="47" t="s">
        <v>523</v>
      </c>
      <c r="D513" s="48">
        <v>530</v>
      </c>
      <c r="E513" s="43" t="str">
        <f>IF(D513&lt;=0,"",VLOOKUP(D513,[1]FF!A:D,2,0))</f>
        <v>PARTICIPACIONES Ramo 28</v>
      </c>
      <c r="F513" s="37" t="s">
        <v>550</v>
      </c>
      <c r="G513" s="37" t="s">
        <v>461</v>
      </c>
      <c r="H513" s="49">
        <v>211001</v>
      </c>
      <c r="I513" s="44" t="str">
        <f>IF(H513&lt;=0,"",VLOOKUP(H513,[4]COG!A:H,2,0))</f>
        <v>Material de oficina</v>
      </c>
      <c r="J513" s="39">
        <v>10260</v>
      </c>
      <c r="K513" s="39">
        <v>10235</v>
      </c>
      <c r="L513" s="50"/>
      <c r="M513" s="50"/>
      <c r="N513" s="1">
        <f>Tabla5[[#This Row],[TRIMESTRE  I]]+Tabla5[[#This Row],[TRIMESTRE II]]+Tabla5[[#This Row],[TRIMESTRE III]]+Tabla5[[#This Row],[TRIMESTRE IV]]</f>
        <v>20495</v>
      </c>
      <c r="O513" s="39"/>
      <c r="P513" s="39"/>
      <c r="Q513" s="59"/>
    </row>
    <row r="514" spans="2:17" ht="22.5" x14ac:dyDescent="0.2">
      <c r="B514" s="46">
        <v>513078</v>
      </c>
      <c r="C514" s="47" t="s">
        <v>523</v>
      </c>
      <c r="D514" s="48">
        <v>530</v>
      </c>
      <c r="E514" s="43" t="str">
        <f>IF(D514&lt;=0,"",VLOOKUP(D514,[1]FF!A:D,2,0))</f>
        <v>PARTICIPACIONES Ramo 28</v>
      </c>
      <c r="F514" s="37" t="s">
        <v>550</v>
      </c>
      <c r="G514" s="37" t="s">
        <v>461</v>
      </c>
      <c r="H514" s="49">
        <v>212001</v>
      </c>
      <c r="I514" s="44" t="str">
        <f>IF(H514&lt;=0,"",VLOOKUP(H514,[4]COG!A:H,2,0))</f>
        <v>Material y útiles de impresión</v>
      </c>
      <c r="J514" s="39">
        <v>9378</v>
      </c>
      <c r="K514" s="39">
        <v>9379</v>
      </c>
      <c r="L514" s="50"/>
      <c r="M514" s="50"/>
      <c r="N514" s="1">
        <f>Tabla5[[#This Row],[TRIMESTRE  I]]+Tabla5[[#This Row],[TRIMESTRE II]]+Tabla5[[#This Row],[TRIMESTRE III]]+Tabla5[[#This Row],[TRIMESTRE IV]]</f>
        <v>18757</v>
      </c>
      <c r="O514" s="39"/>
      <c r="P514" s="39"/>
      <c r="Q514" s="59"/>
    </row>
    <row r="515" spans="2:17" ht="27" x14ac:dyDescent="0.2">
      <c r="B515" s="46">
        <v>513078</v>
      </c>
      <c r="C515" s="47" t="s">
        <v>523</v>
      </c>
      <c r="D515" s="48">
        <v>530</v>
      </c>
      <c r="E515" s="43" t="str">
        <f>IF(D515&lt;=0,"",VLOOKUP(D515,[1]FF!A:D,2,0))</f>
        <v>PARTICIPACIONES Ramo 28</v>
      </c>
      <c r="F515" s="37" t="s">
        <v>550</v>
      </c>
      <c r="G515" s="37" t="s">
        <v>461</v>
      </c>
      <c r="H515" s="49">
        <v>214001</v>
      </c>
      <c r="I515" s="44" t="str">
        <f>IF(H515&lt;=0,"",VLOOKUP(H515,[4]COG!A:H,2,0))</f>
        <v>Materiales, útiles y equipos menores de tecnologías de la información y comunicaciones</v>
      </c>
      <c r="J515" s="39">
        <v>34425</v>
      </c>
      <c r="K515" s="39">
        <v>34425</v>
      </c>
      <c r="L515" s="50"/>
      <c r="M515" s="50"/>
      <c r="N515" s="1">
        <f>Tabla5[[#This Row],[TRIMESTRE  I]]+Tabla5[[#This Row],[TRIMESTRE II]]+Tabla5[[#This Row],[TRIMESTRE III]]+Tabla5[[#This Row],[TRIMESTRE IV]]</f>
        <v>68850</v>
      </c>
      <c r="O515" s="39"/>
      <c r="P515" s="39"/>
      <c r="Q515" s="59"/>
    </row>
    <row r="516" spans="2:17" ht="22.5" x14ac:dyDescent="0.2">
      <c r="B516" s="46">
        <v>513078</v>
      </c>
      <c r="C516" s="47" t="s">
        <v>523</v>
      </c>
      <c r="D516" s="48">
        <v>530</v>
      </c>
      <c r="E516" s="43" t="str">
        <f>IF(D516&lt;=0,"",VLOOKUP(D516,[1]FF!A:D,2,0))</f>
        <v>PARTICIPACIONES Ramo 28</v>
      </c>
      <c r="F516" s="37" t="s">
        <v>550</v>
      </c>
      <c r="G516" s="37" t="s">
        <v>461</v>
      </c>
      <c r="H516" s="49">
        <v>215001</v>
      </c>
      <c r="I516" s="44" t="str">
        <f>IF(H516&lt;=0,"",VLOOKUP(H516,[4]COG!A:H,2,0))</f>
        <v>Material didáctico</v>
      </c>
      <c r="J516" s="39">
        <v>0</v>
      </c>
      <c r="K516" s="39">
        <v>0</v>
      </c>
      <c r="L516" s="50"/>
      <c r="M516" s="50"/>
      <c r="N516" s="1">
        <f>Tabla5[[#This Row],[TRIMESTRE  I]]+Tabla5[[#This Row],[TRIMESTRE II]]+Tabla5[[#This Row],[TRIMESTRE III]]+Tabla5[[#This Row],[TRIMESTRE IV]]</f>
        <v>0</v>
      </c>
      <c r="O516" s="39"/>
      <c r="P516" s="39"/>
      <c r="Q516" s="59"/>
    </row>
    <row r="517" spans="2:17" ht="22.5" x14ac:dyDescent="0.2">
      <c r="B517" s="46">
        <v>513078</v>
      </c>
      <c r="C517" s="47" t="s">
        <v>523</v>
      </c>
      <c r="D517" s="48">
        <v>530</v>
      </c>
      <c r="E517" s="43" t="str">
        <f>IF(D517&lt;=0,"",VLOOKUP(D517,[1]FF!A:D,2,0))</f>
        <v>PARTICIPACIONES Ramo 28</v>
      </c>
      <c r="F517" s="37" t="s">
        <v>550</v>
      </c>
      <c r="G517" s="37" t="s">
        <v>461</v>
      </c>
      <c r="H517" s="49">
        <v>216001</v>
      </c>
      <c r="I517" s="44" t="str">
        <f>IF(H517&lt;=0,"",VLOOKUP(H517,[4]COG!A:H,2,0))</f>
        <v>Material de limpieza</v>
      </c>
      <c r="J517" s="39">
        <v>0</v>
      </c>
      <c r="K517" s="39">
        <v>0</v>
      </c>
      <c r="L517" s="50"/>
      <c r="M517" s="50"/>
      <c r="N517" s="1">
        <f>Tabla5[[#This Row],[TRIMESTRE  I]]+Tabla5[[#This Row],[TRIMESTRE II]]+Tabla5[[#This Row],[TRIMESTRE III]]+Tabla5[[#This Row],[TRIMESTRE IV]]</f>
        <v>0</v>
      </c>
      <c r="O517" s="39"/>
      <c r="P517" s="39"/>
      <c r="Q517" s="59"/>
    </row>
    <row r="518" spans="2:17" ht="22.5" x14ac:dyDescent="0.2">
      <c r="B518" s="46">
        <v>513078</v>
      </c>
      <c r="C518" s="47" t="s">
        <v>523</v>
      </c>
      <c r="D518" s="48">
        <v>530</v>
      </c>
      <c r="E518" s="43" t="str">
        <f>IF(D518&lt;=0,"",VLOOKUP(D518,[1]FF!A:D,2,0))</f>
        <v>PARTICIPACIONES Ramo 28</v>
      </c>
      <c r="F518" s="37" t="s">
        <v>550</v>
      </c>
      <c r="G518" s="37" t="s">
        <v>461</v>
      </c>
      <c r="H518" s="49">
        <v>221001</v>
      </c>
      <c r="I518" s="44" t="str">
        <f>IF(H518&lt;=0,"",VLOOKUP(H518,[4]COG!A:H,2,0))</f>
        <v>Alimentación de personas</v>
      </c>
      <c r="J518" s="39">
        <v>0</v>
      </c>
      <c r="K518" s="39">
        <v>0</v>
      </c>
      <c r="L518" s="50"/>
      <c r="M518" s="50"/>
      <c r="N518" s="1">
        <f>Tabla5[[#This Row],[TRIMESTRE  I]]+Tabla5[[#This Row],[TRIMESTRE II]]+Tabla5[[#This Row],[TRIMESTRE III]]+Tabla5[[#This Row],[TRIMESTRE IV]]</f>
        <v>0</v>
      </c>
      <c r="O518" s="39"/>
      <c r="P518" s="39"/>
      <c r="Q518" s="59"/>
    </row>
    <row r="519" spans="2:17" ht="22.5" x14ac:dyDescent="0.2">
      <c r="B519" s="46">
        <v>513078</v>
      </c>
      <c r="C519" s="47" t="s">
        <v>523</v>
      </c>
      <c r="D519" s="48">
        <v>530</v>
      </c>
      <c r="E519" s="43" t="str">
        <f>IF(D519&lt;=0,"",VLOOKUP(D519,[1]FF!A:D,2,0))</f>
        <v>PARTICIPACIONES Ramo 28</v>
      </c>
      <c r="F519" s="37" t="s">
        <v>550</v>
      </c>
      <c r="G519" s="37" t="s">
        <v>461</v>
      </c>
      <c r="H519" s="49">
        <v>223001</v>
      </c>
      <c r="I519" s="44" t="str">
        <f>IF(H519&lt;=0,"",VLOOKUP(H519,[4]COG!A:H,2,0))</f>
        <v>Utensilios para el servicio de alimentación</v>
      </c>
      <c r="J519" s="39">
        <v>0</v>
      </c>
      <c r="K519" s="39">
        <v>0</v>
      </c>
      <c r="L519" s="50"/>
      <c r="M519" s="50"/>
      <c r="N519" s="1">
        <f>Tabla5[[#This Row],[TRIMESTRE  I]]+Tabla5[[#This Row],[TRIMESTRE II]]+Tabla5[[#This Row],[TRIMESTRE III]]+Tabla5[[#This Row],[TRIMESTRE IV]]</f>
        <v>0</v>
      </c>
      <c r="O519" s="39"/>
      <c r="P519" s="39"/>
      <c r="Q519" s="59"/>
    </row>
    <row r="520" spans="2:17" ht="22.5" x14ac:dyDescent="0.2">
      <c r="B520" s="46">
        <v>513078</v>
      </c>
      <c r="C520" s="47" t="s">
        <v>523</v>
      </c>
      <c r="D520" s="48">
        <v>530</v>
      </c>
      <c r="E520" s="43" t="str">
        <f>IF(D520&lt;=0,"",VLOOKUP(D520,[1]FF!A:D,2,0))</f>
        <v>PARTICIPACIONES Ramo 28</v>
      </c>
      <c r="F520" s="37" t="s">
        <v>550</v>
      </c>
      <c r="G520" s="37" t="s">
        <v>461</v>
      </c>
      <c r="H520" s="49">
        <v>246001</v>
      </c>
      <c r="I520" s="44" t="str">
        <f>IF(H520&lt;=0,"",VLOOKUP(H520,[4]COG!A:H,2,0))</f>
        <v>Material eléctrico</v>
      </c>
      <c r="J520" s="39">
        <v>15300</v>
      </c>
      <c r="K520" s="39">
        <v>15300</v>
      </c>
      <c r="L520" s="50"/>
      <c r="M520" s="50"/>
      <c r="N520" s="1">
        <f>Tabla5[[#This Row],[TRIMESTRE  I]]+Tabla5[[#This Row],[TRIMESTRE II]]+Tabla5[[#This Row],[TRIMESTRE III]]+Tabla5[[#This Row],[TRIMESTRE IV]]</f>
        <v>30600</v>
      </c>
      <c r="O520" s="39"/>
      <c r="P520" s="39"/>
      <c r="Q520" s="59"/>
    </row>
    <row r="521" spans="2:17" ht="22.5" x14ac:dyDescent="0.2">
      <c r="B521" s="46">
        <v>513078</v>
      </c>
      <c r="C521" s="47" t="s">
        <v>523</v>
      </c>
      <c r="D521" s="48">
        <v>530</v>
      </c>
      <c r="E521" s="43" t="str">
        <f>IF(D521&lt;=0,"",VLOOKUP(D521,[1]FF!A:D,2,0))</f>
        <v>PARTICIPACIONES Ramo 28</v>
      </c>
      <c r="F521" s="37" t="s">
        <v>550</v>
      </c>
      <c r="G521" s="37" t="s">
        <v>461</v>
      </c>
      <c r="H521" s="49">
        <v>248001</v>
      </c>
      <c r="I521" s="44" t="str">
        <f>IF(H521&lt;=0,"",VLOOKUP(H521,[4]COG!A:H,2,0))</f>
        <v>Materiales complementarios</v>
      </c>
      <c r="J521" s="39">
        <v>0</v>
      </c>
      <c r="K521" s="39">
        <v>0</v>
      </c>
      <c r="L521" s="50"/>
      <c r="M521" s="50"/>
      <c r="N521" s="1">
        <f>Tabla5[[#This Row],[TRIMESTRE  I]]+Tabla5[[#This Row],[TRIMESTRE II]]+Tabla5[[#This Row],[TRIMESTRE III]]+Tabla5[[#This Row],[TRIMESTRE IV]]</f>
        <v>0</v>
      </c>
      <c r="O521" s="39"/>
      <c r="P521" s="39"/>
      <c r="Q521" s="59"/>
    </row>
    <row r="522" spans="2:17" ht="22.5" x14ac:dyDescent="0.2">
      <c r="B522" s="46">
        <v>513078</v>
      </c>
      <c r="C522" s="47" t="s">
        <v>523</v>
      </c>
      <c r="D522" s="48">
        <v>530</v>
      </c>
      <c r="E522" s="43" t="str">
        <f>IF(D522&lt;=0,"",VLOOKUP(D522,[1]FF!A:D,2,0))</f>
        <v>PARTICIPACIONES Ramo 28</v>
      </c>
      <c r="F522" s="37" t="s">
        <v>550</v>
      </c>
      <c r="G522" s="37" t="s">
        <v>461</v>
      </c>
      <c r="H522" s="49">
        <v>261001</v>
      </c>
      <c r="I522" s="44" t="str">
        <f>IF(H522&lt;=0,"",VLOOKUP(H522,[4]COG!A:H,2,0))</f>
        <v>Combustibles</v>
      </c>
      <c r="J522" s="39">
        <v>5496</v>
      </c>
      <c r="K522" s="39">
        <v>5496</v>
      </c>
      <c r="L522" s="50"/>
      <c r="M522" s="50"/>
      <c r="N522" s="1">
        <f>Tabla5[[#This Row],[TRIMESTRE  I]]+Tabla5[[#This Row],[TRIMESTRE II]]+Tabla5[[#This Row],[TRIMESTRE III]]+Tabla5[[#This Row],[TRIMESTRE IV]]</f>
        <v>10992</v>
      </c>
      <c r="O522" s="39"/>
      <c r="P522" s="39"/>
      <c r="Q522" s="59"/>
    </row>
    <row r="523" spans="2:17" x14ac:dyDescent="0.2">
      <c r="B523" s="46">
        <v>514079</v>
      </c>
      <c r="C523" s="47" t="s">
        <v>551</v>
      </c>
      <c r="D523" s="48">
        <v>530</v>
      </c>
      <c r="E523" s="43" t="str">
        <f>IF(D523&lt;=0,"",VLOOKUP(D523,[1]FF!A:D,2,0))</f>
        <v>PARTICIPACIONES Ramo 28</v>
      </c>
      <c r="F523" s="37" t="s">
        <v>552</v>
      </c>
      <c r="G523" s="37" t="s">
        <v>461</v>
      </c>
      <c r="H523" s="49">
        <v>211001</v>
      </c>
      <c r="I523" s="44" t="str">
        <f>IF(H523&lt;=0,"",VLOOKUP(H523,[4]COG!A:H,2,0))</f>
        <v>Material de oficina</v>
      </c>
      <c r="J523" s="39">
        <v>4526</v>
      </c>
      <c r="K523" s="39">
        <v>4606</v>
      </c>
      <c r="L523" s="50"/>
      <c r="M523" s="50"/>
      <c r="N523" s="1">
        <f>Tabla5[[#This Row],[TRIMESTRE  I]]+Tabla5[[#This Row],[TRIMESTRE II]]+Tabla5[[#This Row],[TRIMESTRE III]]+Tabla5[[#This Row],[TRIMESTRE IV]]</f>
        <v>9132</v>
      </c>
      <c r="O523" s="39"/>
      <c r="P523" s="39"/>
      <c r="Q523" s="59"/>
    </row>
    <row r="524" spans="2:17" x14ac:dyDescent="0.2">
      <c r="B524" s="46">
        <v>514079</v>
      </c>
      <c r="C524" s="47" t="s">
        <v>551</v>
      </c>
      <c r="D524" s="48">
        <v>530</v>
      </c>
      <c r="E524" s="43" t="str">
        <f>IF(D524&lt;=0,"",VLOOKUP(D524,[1]FF!A:D,2,0))</f>
        <v>PARTICIPACIONES Ramo 28</v>
      </c>
      <c r="F524" s="37" t="s">
        <v>552</v>
      </c>
      <c r="G524" s="37" t="s">
        <v>461</v>
      </c>
      <c r="H524" s="49">
        <v>212001</v>
      </c>
      <c r="I524" s="44" t="str">
        <f>IF(H524&lt;=0,"",VLOOKUP(H524,[4]COG!A:H,2,0))</f>
        <v>Material y útiles de impresión</v>
      </c>
      <c r="J524" s="39">
        <v>13620</v>
      </c>
      <c r="K524" s="39">
        <v>13618</v>
      </c>
      <c r="L524" s="50"/>
      <c r="M524" s="50"/>
      <c r="N524" s="1">
        <f>Tabla5[[#This Row],[TRIMESTRE  I]]+Tabla5[[#This Row],[TRIMESTRE II]]+Tabla5[[#This Row],[TRIMESTRE III]]+Tabla5[[#This Row],[TRIMESTRE IV]]</f>
        <v>27238</v>
      </c>
      <c r="O524" s="39"/>
      <c r="P524" s="39"/>
      <c r="Q524" s="59"/>
    </row>
    <row r="525" spans="2:17" ht="27" x14ac:dyDescent="0.2">
      <c r="B525" s="46">
        <v>514079</v>
      </c>
      <c r="C525" s="47" t="s">
        <v>551</v>
      </c>
      <c r="D525" s="48">
        <v>530</v>
      </c>
      <c r="E525" s="43" t="str">
        <f>IF(D525&lt;=0,"",VLOOKUP(D525,[1]FF!A:D,2,0))</f>
        <v>PARTICIPACIONES Ramo 28</v>
      </c>
      <c r="F525" s="37" t="s">
        <v>552</v>
      </c>
      <c r="G525" s="37" t="s">
        <v>461</v>
      </c>
      <c r="H525" s="49">
        <v>214001</v>
      </c>
      <c r="I525" s="44" t="str">
        <f>IF(H525&lt;=0,"",VLOOKUP(H525,[4]COG!A:H,2,0))</f>
        <v>Materiales, útiles y equipos menores de tecnologías de la información y comunicaciones</v>
      </c>
      <c r="J525" s="39">
        <v>230271</v>
      </c>
      <c r="K525" s="39">
        <v>230271</v>
      </c>
      <c r="L525" s="50"/>
      <c r="M525" s="50"/>
      <c r="N525" s="1">
        <f>Tabla5[[#This Row],[TRIMESTRE  I]]+Tabla5[[#This Row],[TRIMESTRE II]]+Tabla5[[#This Row],[TRIMESTRE III]]+Tabla5[[#This Row],[TRIMESTRE IV]]</f>
        <v>460542</v>
      </c>
      <c r="O525" s="39"/>
      <c r="P525" s="39"/>
      <c r="Q525" s="59"/>
    </row>
    <row r="526" spans="2:17" x14ac:dyDescent="0.2">
      <c r="B526" s="46">
        <v>514079</v>
      </c>
      <c r="C526" s="47" t="s">
        <v>551</v>
      </c>
      <c r="D526" s="48">
        <v>530</v>
      </c>
      <c r="E526" s="43" t="str">
        <f>IF(D526&lt;=0,"",VLOOKUP(D526,[1]FF!A:D,2,0))</f>
        <v>PARTICIPACIONES Ramo 28</v>
      </c>
      <c r="F526" s="37" t="s">
        <v>552</v>
      </c>
      <c r="G526" s="37" t="s">
        <v>461</v>
      </c>
      <c r="H526" s="49">
        <v>216001</v>
      </c>
      <c r="I526" s="44" t="str">
        <f>IF(H526&lt;=0,"",VLOOKUP(H526,[4]COG!A:H,2,0))</f>
        <v>Material de limpieza</v>
      </c>
      <c r="J526" s="39">
        <v>2100</v>
      </c>
      <c r="K526" s="39">
        <v>2100</v>
      </c>
      <c r="L526" s="50"/>
      <c r="M526" s="50"/>
      <c r="N526" s="1">
        <f>Tabla5[[#This Row],[TRIMESTRE  I]]+Tabla5[[#This Row],[TRIMESTRE II]]+Tabla5[[#This Row],[TRIMESTRE III]]+Tabla5[[#This Row],[TRIMESTRE IV]]</f>
        <v>4200</v>
      </c>
      <c r="O526" s="39"/>
      <c r="P526" s="39"/>
      <c r="Q526" s="59"/>
    </row>
    <row r="527" spans="2:17" x14ac:dyDescent="0.2">
      <c r="B527" s="46">
        <v>514079</v>
      </c>
      <c r="C527" s="47" t="s">
        <v>551</v>
      </c>
      <c r="D527" s="48">
        <v>530</v>
      </c>
      <c r="E527" s="43" t="str">
        <f>IF(D527&lt;=0,"",VLOOKUP(D527,[1]FF!A:D,2,0))</f>
        <v>PARTICIPACIONES Ramo 28</v>
      </c>
      <c r="F527" s="37" t="s">
        <v>552</v>
      </c>
      <c r="G527" s="37" t="s">
        <v>461</v>
      </c>
      <c r="H527" s="49">
        <v>221001</v>
      </c>
      <c r="I527" s="44" t="str">
        <f>IF(H527&lt;=0,"",VLOOKUP(H527,[4]COG!A:H,2,0))</f>
        <v>Alimentación de personas</v>
      </c>
      <c r="J527" s="39">
        <v>0</v>
      </c>
      <c r="K527" s="39">
        <v>0</v>
      </c>
      <c r="L527" s="50"/>
      <c r="M527" s="50"/>
      <c r="N527" s="1">
        <f>Tabla5[[#This Row],[TRIMESTRE  I]]+Tabla5[[#This Row],[TRIMESTRE II]]+Tabla5[[#This Row],[TRIMESTRE III]]+Tabla5[[#This Row],[TRIMESTRE IV]]</f>
        <v>0</v>
      </c>
      <c r="O527" s="39"/>
      <c r="P527" s="39"/>
      <c r="Q527" s="59"/>
    </row>
    <row r="528" spans="2:17" x14ac:dyDescent="0.2">
      <c r="B528" s="46">
        <v>514079</v>
      </c>
      <c r="C528" s="47" t="s">
        <v>551</v>
      </c>
      <c r="D528" s="48">
        <v>530</v>
      </c>
      <c r="E528" s="43" t="str">
        <f>IF(D528&lt;=0,"",VLOOKUP(D528,[1]FF!A:D,2,0))</f>
        <v>PARTICIPACIONES Ramo 28</v>
      </c>
      <c r="F528" s="37" t="s">
        <v>552</v>
      </c>
      <c r="G528" s="37" t="s">
        <v>461</v>
      </c>
      <c r="H528" s="49">
        <v>241001</v>
      </c>
      <c r="I528" s="44" t="str">
        <f>IF(H528&lt;=0,"",VLOOKUP(H528,[4]COG!A:H,2,0))</f>
        <v>Productos minerales no metálicos</v>
      </c>
      <c r="J528" s="39">
        <v>0</v>
      </c>
      <c r="K528" s="39">
        <v>0</v>
      </c>
      <c r="L528" s="50"/>
      <c r="M528" s="50"/>
      <c r="N528" s="1">
        <f>Tabla5[[#This Row],[TRIMESTRE  I]]+Tabla5[[#This Row],[TRIMESTRE II]]+Tabla5[[#This Row],[TRIMESTRE III]]+Tabla5[[#This Row],[TRIMESTRE IV]]</f>
        <v>0</v>
      </c>
      <c r="O528" s="39"/>
      <c r="P528" s="39"/>
      <c r="Q528" s="59"/>
    </row>
    <row r="529" spans="2:17" x14ac:dyDescent="0.2">
      <c r="B529" s="46">
        <v>514079</v>
      </c>
      <c r="C529" s="47" t="s">
        <v>551</v>
      </c>
      <c r="D529" s="48">
        <v>530</v>
      </c>
      <c r="E529" s="43" t="str">
        <f>IF(D529&lt;=0,"",VLOOKUP(D529,[1]FF!A:D,2,0))</f>
        <v>PARTICIPACIONES Ramo 28</v>
      </c>
      <c r="F529" s="37" t="s">
        <v>552</v>
      </c>
      <c r="G529" s="37" t="s">
        <v>461</v>
      </c>
      <c r="H529" s="49">
        <v>246001</v>
      </c>
      <c r="I529" s="44" t="str">
        <f>IF(H529&lt;=0,"",VLOOKUP(H529,[4]COG!A:H,2,0))</f>
        <v>Material eléctrico</v>
      </c>
      <c r="J529" s="39">
        <v>3681</v>
      </c>
      <c r="K529" s="39">
        <v>3681</v>
      </c>
      <c r="L529" s="50"/>
      <c r="M529" s="50"/>
      <c r="N529" s="1">
        <f>Tabla5[[#This Row],[TRIMESTRE  I]]+Tabla5[[#This Row],[TRIMESTRE II]]+Tabla5[[#This Row],[TRIMESTRE III]]+Tabla5[[#This Row],[TRIMESTRE IV]]</f>
        <v>7362</v>
      </c>
      <c r="O529" s="39"/>
      <c r="P529" s="39"/>
      <c r="Q529" s="59"/>
    </row>
    <row r="530" spans="2:17" x14ac:dyDescent="0.2">
      <c r="B530" s="46">
        <v>514079</v>
      </c>
      <c r="C530" s="47" t="s">
        <v>551</v>
      </c>
      <c r="D530" s="48">
        <v>530</v>
      </c>
      <c r="E530" s="43" t="str">
        <f>IF(D530&lt;=0,"",VLOOKUP(D530,[1]FF!A:D,2,0))</f>
        <v>PARTICIPACIONES Ramo 28</v>
      </c>
      <c r="F530" s="37" t="s">
        <v>552</v>
      </c>
      <c r="G530" s="37" t="s">
        <v>461</v>
      </c>
      <c r="H530" s="49">
        <v>247001</v>
      </c>
      <c r="I530" s="44" t="str">
        <f>IF(H530&lt;=0,"",VLOOKUP(H530,[4]COG!A:H,2,0))</f>
        <v>Artículos metálicos para la construcción</v>
      </c>
      <c r="J530" s="39">
        <v>2856</v>
      </c>
      <c r="K530" s="39">
        <v>2855</v>
      </c>
      <c r="L530" s="50"/>
      <c r="M530" s="50"/>
      <c r="N530" s="1">
        <f>Tabla5[[#This Row],[TRIMESTRE  I]]+Tabla5[[#This Row],[TRIMESTRE II]]+Tabla5[[#This Row],[TRIMESTRE III]]+Tabla5[[#This Row],[TRIMESTRE IV]]</f>
        <v>5711</v>
      </c>
      <c r="O530" s="39"/>
      <c r="P530" s="39"/>
      <c r="Q530" s="59"/>
    </row>
    <row r="531" spans="2:17" x14ac:dyDescent="0.2">
      <c r="B531" s="46">
        <v>514079</v>
      </c>
      <c r="C531" s="47" t="s">
        <v>551</v>
      </c>
      <c r="D531" s="48">
        <v>530</v>
      </c>
      <c r="E531" s="43" t="str">
        <f>IF(D531&lt;=0,"",VLOOKUP(D531,[1]FF!A:D,2,0))</f>
        <v>PARTICIPACIONES Ramo 28</v>
      </c>
      <c r="F531" s="37" t="s">
        <v>552</v>
      </c>
      <c r="G531" s="37" t="s">
        <v>461</v>
      </c>
      <c r="H531" s="49">
        <v>248001</v>
      </c>
      <c r="I531" s="44" t="str">
        <f>IF(H531&lt;=0,"",VLOOKUP(H531,[4]COG!A:H,2,0))</f>
        <v>Materiales complementarios</v>
      </c>
      <c r="J531" s="39">
        <v>0</v>
      </c>
      <c r="K531" s="39">
        <v>0</v>
      </c>
      <c r="L531" s="50"/>
      <c r="M531" s="50"/>
      <c r="N531" s="1">
        <f>Tabla5[[#This Row],[TRIMESTRE  I]]+Tabla5[[#This Row],[TRIMESTRE II]]+Tabla5[[#This Row],[TRIMESTRE III]]+Tabla5[[#This Row],[TRIMESTRE IV]]</f>
        <v>0</v>
      </c>
      <c r="O531" s="39"/>
      <c r="P531" s="39"/>
      <c r="Q531" s="59"/>
    </row>
    <row r="532" spans="2:17" ht="18" x14ac:dyDescent="0.2">
      <c r="B532" s="46">
        <v>514079</v>
      </c>
      <c r="C532" s="47" t="s">
        <v>551</v>
      </c>
      <c r="D532" s="48">
        <v>530</v>
      </c>
      <c r="E532" s="43" t="str">
        <f>IF(D532&lt;=0,"",VLOOKUP(D532,[1]FF!A:D,2,0))</f>
        <v>PARTICIPACIONES Ramo 28</v>
      </c>
      <c r="F532" s="37" t="s">
        <v>552</v>
      </c>
      <c r="G532" s="37" t="s">
        <v>461</v>
      </c>
      <c r="H532" s="49">
        <v>249001</v>
      </c>
      <c r="I532" s="44" t="str">
        <f>IF(H532&lt;=0,"",VLOOKUP(H532,[4]COG!A:H,2,0))</f>
        <v>Materiales de construcción y complementarios</v>
      </c>
      <c r="J532" s="39">
        <v>3954</v>
      </c>
      <c r="K532" s="39">
        <v>3954</v>
      </c>
      <c r="L532" s="50"/>
      <c r="M532" s="50"/>
      <c r="N532" s="1">
        <f>Tabla5[[#This Row],[TRIMESTRE  I]]+Tabla5[[#This Row],[TRIMESTRE II]]+Tabla5[[#This Row],[TRIMESTRE III]]+Tabla5[[#This Row],[TRIMESTRE IV]]</f>
        <v>7908</v>
      </c>
      <c r="O532" s="39"/>
      <c r="P532" s="39"/>
      <c r="Q532" s="59"/>
    </row>
    <row r="533" spans="2:17" ht="18" x14ac:dyDescent="0.2">
      <c r="B533" s="46">
        <v>514079</v>
      </c>
      <c r="C533" s="47" t="s">
        <v>551</v>
      </c>
      <c r="D533" s="48">
        <v>530</v>
      </c>
      <c r="E533" s="43" t="str">
        <f>IF(D533&lt;=0,"",VLOOKUP(D533,[1]FF!A:D,2,0))</f>
        <v>PARTICIPACIONES Ramo 28</v>
      </c>
      <c r="F533" s="37" t="s">
        <v>552</v>
      </c>
      <c r="G533" s="37" t="s">
        <v>461</v>
      </c>
      <c r="H533" s="49">
        <v>249002</v>
      </c>
      <c r="I533" s="44" t="str">
        <f>IF(H533&lt;=0,"",VLOOKUP(H533,[4]COG!A:H,2,0))</f>
        <v>Otros materiales de construcción y reparación</v>
      </c>
      <c r="J533" s="39">
        <v>0</v>
      </c>
      <c r="K533" s="39">
        <v>0</v>
      </c>
      <c r="L533" s="50"/>
      <c r="M533" s="50"/>
      <c r="N533" s="1">
        <f>Tabla5[[#This Row],[TRIMESTRE  I]]+Tabla5[[#This Row],[TRIMESTRE II]]+Tabla5[[#This Row],[TRIMESTRE III]]+Tabla5[[#This Row],[TRIMESTRE IV]]</f>
        <v>0</v>
      </c>
      <c r="O533" s="39"/>
      <c r="P533" s="39"/>
      <c r="Q533" s="59"/>
    </row>
    <row r="534" spans="2:17" x14ac:dyDescent="0.2">
      <c r="B534" s="46">
        <v>514079</v>
      </c>
      <c r="C534" s="47" t="s">
        <v>551</v>
      </c>
      <c r="D534" s="48">
        <v>530</v>
      </c>
      <c r="E534" s="43" t="str">
        <f>IF(D534&lt;=0,"",VLOOKUP(D534,[1]FF!A:D,2,0))</f>
        <v>PARTICIPACIONES Ramo 28</v>
      </c>
      <c r="F534" s="37" t="s">
        <v>552</v>
      </c>
      <c r="G534" s="37" t="s">
        <v>461</v>
      </c>
      <c r="H534" s="49">
        <v>251001</v>
      </c>
      <c r="I534" s="44" t="str">
        <f>IF(H534&lt;=0,"",VLOOKUP(H534,[4]COG!A:H,2,0))</f>
        <v>Gas Refrigerante</v>
      </c>
      <c r="J534" s="39">
        <v>0</v>
      </c>
      <c r="K534" s="39">
        <v>0</v>
      </c>
      <c r="L534" s="50"/>
      <c r="M534" s="50"/>
      <c r="N534" s="1">
        <f>Tabla5[[#This Row],[TRIMESTRE  I]]+Tabla5[[#This Row],[TRIMESTRE II]]+Tabla5[[#This Row],[TRIMESTRE III]]+Tabla5[[#This Row],[TRIMESTRE IV]]</f>
        <v>0</v>
      </c>
      <c r="O534" s="39"/>
      <c r="P534" s="39"/>
      <c r="Q534" s="59"/>
    </row>
    <row r="535" spans="2:17" ht="18" x14ac:dyDescent="0.2">
      <c r="B535" s="46">
        <v>514079</v>
      </c>
      <c r="C535" s="47" t="s">
        <v>551</v>
      </c>
      <c r="D535" s="48">
        <v>530</v>
      </c>
      <c r="E535" s="43" t="str">
        <f>IF(D535&lt;=0,"",VLOOKUP(D535,[1]FF!A:D,2,0))</f>
        <v>PARTICIPACIONES Ramo 28</v>
      </c>
      <c r="F535" s="37" t="s">
        <v>552</v>
      </c>
      <c r="G535" s="37" t="s">
        <v>461</v>
      </c>
      <c r="H535" s="49">
        <v>256001</v>
      </c>
      <c r="I535" s="44" t="str">
        <f>IF(H535&lt;=0,"",VLOOKUP(H535,[4]COG!A:H,2,0))</f>
        <v>Fibras sintéticas, hules, plásticos y derivados</v>
      </c>
      <c r="J535" s="39">
        <v>0</v>
      </c>
      <c r="K535" s="39">
        <v>0</v>
      </c>
      <c r="L535" s="50"/>
      <c r="M535" s="50"/>
      <c r="N535" s="1">
        <f>Tabla5[[#This Row],[TRIMESTRE  I]]+Tabla5[[#This Row],[TRIMESTRE II]]+Tabla5[[#This Row],[TRIMESTRE III]]+Tabla5[[#This Row],[TRIMESTRE IV]]</f>
        <v>0</v>
      </c>
      <c r="O535" s="39"/>
      <c r="P535" s="39"/>
      <c r="Q535" s="59"/>
    </row>
    <row r="536" spans="2:17" x14ac:dyDescent="0.2">
      <c r="B536" s="46">
        <v>514079</v>
      </c>
      <c r="C536" s="47" t="s">
        <v>551</v>
      </c>
      <c r="D536" s="48">
        <v>530</v>
      </c>
      <c r="E536" s="43" t="str">
        <f>IF(D536&lt;=0,"",VLOOKUP(D536,[1]FF!A:D,2,0))</f>
        <v>PARTICIPACIONES Ramo 28</v>
      </c>
      <c r="F536" s="37" t="s">
        <v>552</v>
      </c>
      <c r="G536" s="37" t="s">
        <v>461</v>
      </c>
      <c r="H536" s="49">
        <v>261001</v>
      </c>
      <c r="I536" s="44" t="str">
        <f>IF(H536&lt;=0,"",VLOOKUP(H536,[4]COG!A:H,2,0))</f>
        <v>Combustibles</v>
      </c>
      <c r="J536" s="39">
        <v>10212</v>
      </c>
      <c r="K536" s="39">
        <v>10212</v>
      </c>
      <c r="L536" s="50"/>
      <c r="M536" s="50"/>
      <c r="N536" s="1">
        <f>Tabla5[[#This Row],[TRIMESTRE  I]]+Tabla5[[#This Row],[TRIMESTRE II]]+Tabla5[[#This Row],[TRIMESTRE III]]+Tabla5[[#This Row],[TRIMESTRE IV]]</f>
        <v>20424</v>
      </c>
      <c r="O536" s="39"/>
      <c r="P536" s="39"/>
      <c r="Q536" s="59"/>
    </row>
    <row r="537" spans="2:17" x14ac:dyDescent="0.2">
      <c r="B537" s="46">
        <v>514079</v>
      </c>
      <c r="C537" s="47" t="s">
        <v>551</v>
      </c>
      <c r="D537" s="48">
        <v>530</v>
      </c>
      <c r="E537" s="43" t="str">
        <f>IF(D537&lt;=0,"",VLOOKUP(D537,[1]FF!A:D,2,0))</f>
        <v>PARTICIPACIONES Ramo 28</v>
      </c>
      <c r="F537" s="37" t="s">
        <v>552</v>
      </c>
      <c r="G537" s="37" t="s">
        <v>461</v>
      </c>
      <c r="H537" s="49">
        <v>261002</v>
      </c>
      <c r="I537" s="44" t="str">
        <f>IF(H537&lt;=0,"",VLOOKUP(H537,[4]COG!A:H,2,0))</f>
        <v>Lubricantes y aditivos</v>
      </c>
      <c r="J537" s="39">
        <v>0</v>
      </c>
      <c r="K537" s="39">
        <v>0</v>
      </c>
      <c r="L537" s="50"/>
      <c r="M537" s="50"/>
      <c r="N537" s="1">
        <f>Tabla5[[#This Row],[TRIMESTRE  I]]+Tabla5[[#This Row],[TRIMESTRE II]]+Tabla5[[#This Row],[TRIMESTRE III]]+Tabla5[[#This Row],[TRIMESTRE IV]]</f>
        <v>0</v>
      </c>
      <c r="O537" s="39"/>
      <c r="P537" s="39"/>
      <c r="Q537" s="59"/>
    </row>
    <row r="538" spans="2:17" x14ac:dyDescent="0.2">
      <c r="B538" s="46">
        <v>514079</v>
      </c>
      <c r="C538" s="47" t="s">
        <v>551</v>
      </c>
      <c r="D538" s="48">
        <v>530</v>
      </c>
      <c r="E538" s="43" t="str">
        <f>IF(D538&lt;=0,"",VLOOKUP(D538,[1]FF!A:D,2,0))</f>
        <v>PARTICIPACIONES Ramo 28</v>
      </c>
      <c r="F538" s="37" t="s">
        <v>552</v>
      </c>
      <c r="G538" s="37" t="s">
        <v>461</v>
      </c>
      <c r="H538" s="49">
        <v>271001</v>
      </c>
      <c r="I538" s="44" t="str">
        <f>IF(H538&lt;=0,"",VLOOKUP(H538,[4]COG!A:H,2,0))</f>
        <v>Ropa, vestuario y equipo</v>
      </c>
      <c r="J538" s="39">
        <v>2259</v>
      </c>
      <c r="K538" s="39">
        <v>2259</v>
      </c>
      <c r="L538" s="50"/>
      <c r="M538" s="50"/>
      <c r="N538" s="1">
        <f>Tabla5[[#This Row],[TRIMESTRE  I]]+Tabla5[[#This Row],[TRIMESTRE II]]+Tabla5[[#This Row],[TRIMESTRE III]]+Tabla5[[#This Row],[TRIMESTRE IV]]</f>
        <v>4518</v>
      </c>
      <c r="O538" s="39"/>
      <c r="P538" s="39"/>
      <c r="Q538" s="59"/>
    </row>
    <row r="539" spans="2:17" x14ac:dyDescent="0.2">
      <c r="B539" s="46">
        <v>514079</v>
      </c>
      <c r="C539" s="47" t="s">
        <v>551</v>
      </c>
      <c r="D539" s="48">
        <v>530</v>
      </c>
      <c r="E539" s="43" t="str">
        <f>IF(D539&lt;=0,"",VLOOKUP(D539,[1]FF!A:D,2,0))</f>
        <v>PARTICIPACIONES Ramo 28</v>
      </c>
      <c r="F539" s="37" t="s">
        <v>552</v>
      </c>
      <c r="G539" s="37" t="s">
        <v>461</v>
      </c>
      <c r="H539" s="49">
        <v>274001</v>
      </c>
      <c r="I539" s="44" t="str">
        <f>IF(H539&lt;=0,"",VLOOKUP(H539,[4]COG!A:H,2,0))</f>
        <v>Productos textiles</v>
      </c>
      <c r="J539" s="39">
        <v>0</v>
      </c>
      <c r="K539" s="39">
        <v>0</v>
      </c>
      <c r="L539" s="50"/>
      <c r="M539" s="50"/>
      <c r="N539" s="1">
        <f>Tabla5[[#This Row],[TRIMESTRE  I]]+Tabla5[[#This Row],[TRIMESTRE II]]+Tabla5[[#This Row],[TRIMESTRE III]]+Tabla5[[#This Row],[TRIMESTRE IV]]</f>
        <v>0</v>
      </c>
      <c r="O539" s="39"/>
      <c r="P539" s="39"/>
      <c r="Q539" s="59"/>
    </row>
    <row r="540" spans="2:17" x14ac:dyDescent="0.2">
      <c r="B540" s="46">
        <v>514079</v>
      </c>
      <c r="C540" s="47" t="s">
        <v>551</v>
      </c>
      <c r="D540" s="48">
        <v>530</v>
      </c>
      <c r="E540" s="43" t="str">
        <f>IF(D540&lt;=0,"",VLOOKUP(D540,[1]FF!A:D,2,0))</f>
        <v>PARTICIPACIONES Ramo 28</v>
      </c>
      <c r="F540" s="37" t="s">
        <v>552</v>
      </c>
      <c r="G540" s="37" t="s">
        <v>461</v>
      </c>
      <c r="H540" s="49">
        <v>291001</v>
      </c>
      <c r="I540" s="44" t="str">
        <f>IF(H540&lt;=0,"",VLOOKUP(H540,[4]COG!A:H,2,0))</f>
        <v>Herramientas Auxiliares de Trabajo</v>
      </c>
      <c r="J540" s="39">
        <v>0</v>
      </c>
      <c r="K540" s="39">
        <v>0</v>
      </c>
      <c r="L540" s="50"/>
      <c r="M540" s="50"/>
      <c r="N540" s="1">
        <f>Tabla5[[#This Row],[TRIMESTRE  I]]+Tabla5[[#This Row],[TRIMESTRE II]]+Tabla5[[#This Row],[TRIMESTRE III]]+Tabla5[[#This Row],[TRIMESTRE IV]]</f>
        <v>0</v>
      </c>
      <c r="O540" s="39"/>
      <c r="P540" s="39"/>
      <c r="Q540" s="59"/>
    </row>
    <row r="541" spans="2:17" ht="27" x14ac:dyDescent="0.2">
      <c r="B541" s="46">
        <v>514079</v>
      </c>
      <c r="C541" s="47" t="s">
        <v>551</v>
      </c>
      <c r="D541" s="48">
        <v>530</v>
      </c>
      <c r="E541" s="43" t="str">
        <f>IF(D541&lt;=0,"",VLOOKUP(D541,[1]FF!A:D,2,0))</f>
        <v>PARTICIPACIONES Ramo 28</v>
      </c>
      <c r="F541" s="37" t="s">
        <v>552</v>
      </c>
      <c r="G541" s="37" t="s">
        <v>461</v>
      </c>
      <c r="H541" s="49">
        <v>292001</v>
      </c>
      <c r="I541" s="44" t="str">
        <f>IF(H541&lt;=0,"",VLOOKUP(H541,[4]COG!A:H,2,0))</f>
        <v>Refacciones y accesorios menores de edificios (candados, cerraduras, chapas, llaves)</v>
      </c>
      <c r="J541" s="39">
        <v>0</v>
      </c>
      <c r="K541" s="39">
        <v>0</v>
      </c>
      <c r="L541" s="50"/>
      <c r="M541" s="50"/>
      <c r="N541" s="1">
        <f>Tabla5[[#This Row],[TRIMESTRE  I]]+Tabla5[[#This Row],[TRIMESTRE II]]+Tabla5[[#This Row],[TRIMESTRE III]]+Tabla5[[#This Row],[TRIMESTRE IV]]</f>
        <v>0</v>
      </c>
      <c r="O541" s="39"/>
      <c r="P541" s="39"/>
      <c r="Q541" s="59"/>
    </row>
    <row r="542" spans="2:17" ht="27" x14ac:dyDescent="0.2">
      <c r="B542" s="46">
        <v>514079</v>
      </c>
      <c r="C542" s="47" t="s">
        <v>551</v>
      </c>
      <c r="D542" s="48">
        <v>530</v>
      </c>
      <c r="E542" s="43" t="str">
        <f>IF(D542&lt;=0,"",VLOOKUP(D542,[1]FF!A:D,2,0))</f>
        <v>PARTICIPACIONES Ramo 28</v>
      </c>
      <c r="F542" s="37" t="s">
        <v>552</v>
      </c>
      <c r="G542" s="37" t="s">
        <v>461</v>
      </c>
      <c r="H542" s="49">
        <v>293001</v>
      </c>
      <c r="I542" s="44" t="str">
        <f>IF(H542&lt;=0,"",VLOOKUP(H542,[4]COG!A:H,2,0))</f>
        <v>Refacciones y accesorios menores de mobiliario y equipo de administración, educacional y recreativo</v>
      </c>
      <c r="J542" s="39">
        <v>0</v>
      </c>
      <c r="K542" s="39">
        <v>0</v>
      </c>
      <c r="L542" s="50"/>
      <c r="M542" s="50"/>
      <c r="N542" s="1">
        <f>Tabla5[[#This Row],[TRIMESTRE  I]]+Tabla5[[#This Row],[TRIMESTRE II]]+Tabla5[[#This Row],[TRIMESTRE III]]+Tabla5[[#This Row],[TRIMESTRE IV]]</f>
        <v>0</v>
      </c>
      <c r="O542" s="39"/>
      <c r="P542" s="39"/>
      <c r="Q542" s="59"/>
    </row>
    <row r="543" spans="2:17" ht="18" x14ac:dyDescent="0.2">
      <c r="B543" s="46">
        <v>514079</v>
      </c>
      <c r="C543" s="47" t="s">
        <v>551</v>
      </c>
      <c r="D543" s="48">
        <v>530</v>
      </c>
      <c r="E543" s="43" t="str">
        <f>IF(D543&lt;=0,"",VLOOKUP(D543,[1]FF!A:D,2,0))</f>
        <v>PARTICIPACIONES Ramo 28</v>
      </c>
      <c r="F543" s="37" t="s">
        <v>552</v>
      </c>
      <c r="G543" s="37" t="s">
        <v>461</v>
      </c>
      <c r="H543" s="49">
        <v>294001</v>
      </c>
      <c r="I543" s="44" t="str">
        <f>IF(H543&lt;=0,"",VLOOKUP(H543,[4]COG!A:H,2,0))</f>
        <v>Dispositivos Internos y Externos de Equipo de Computo</v>
      </c>
      <c r="J543" s="39">
        <v>38175</v>
      </c>
      <c r="K543" s="39">
        <v>38175</v>
      </c>
      <c r="L543" s="50"/>
      <c r="M543" s="50"/>
      <c r="N543" s="1">
        <f>Tabla5[[#This Row],[TRIMESTRE  I]]+Tabla5[[#This Row],[TRIMESTRE II]]+Tabla5[[#This Row],[TRIMESTRE III]]+Tabla5[[#This Row],[TRIMESTRE IV]]</f>
        <v>76350</v>
      </c>
      <c r="O543" s="39"/>
      <c r="P543" s="39"/>
      <c r="Q543" s="59"/>
    </row>
    <row r="544" spans="2:17" x14ac:dyDescent="0.2">
      <c r="B544" s="46">
        <v>514079</v>
      </c>
      <c r="C544" s="47" t="s">
        <v>551</v>
      </c>
      <c r="D544" s="48">
        <v>530</v>
      </c>
      <c r="E544" s="43" t="str">
        <f>IF(D544&lt;=0,"",VLOOKUP(D544,[1]FF!A:D,2,0))</f>
        <v>PARTICIPACIONES Ramo 28</v>
      </c>
      <c r="F544" s="37" t="s">
        <v>552</v>
      </c>
      <c r="G544" s="37" t="s">
        <v>461</v>
      </c>
      <c r="H544" s="49">
        <v>296001</v>
      </c>
      <c r="I544" s="44" t="str">
        <f>IF(H544&lt;=0,"",VLOOKUP(H544,[4]COG!A:H,2,0))</f>
        <v>Herramientas, refacciones y accesorios</v>
      </c>
      <c r="J544" s="39">
        <v>57438</v>
      </c>
      <c r="K544" s="39">
        <v>57438</v>
      </c>
      <c r="L544" s="50"/>
      <c r="M544" s="50"/>
      <c r="N544" s="1">
        <f>Tabla5[[#This Row],[TRIMESTRE  I]]+Tabla5[[#This Row],[TRIMESTRE II]]+Tabla5[[#This Row],[TRIMESTRE III]]+Tabla5[[#This Row],[TRIMESTRE IV]]</f>
        <v>114876</v>
      </c>
      <c r="O544" s="39"/>
      <c r="P544" s="39"/>
      <c r="Q544" s="59"/>
    </row>
    <row r="545" spans="2:17" ht="18" x14ac:dyDescent="0.2">
      <c r="B545" s="46">
        <v>514079</v>
      </c>
      <c r="C545" s="47" t="s">
        <v>551</v>
      </c>
      <c r="D545" s="48">
        <v>530</v>
      </c>
      <c r="E545" s="43" t="str">
        <f>IF(D545&lt;=0,"",VLOOKUP(D545,[1]FF!A:D,2,0))</f>
        <v>PARTICIPACIONES Ramo 28</v>
      </c>
      <c r="F545" s="37" t="s">
        <v>552</v>
      </c>
      <c r="G545" s="37" t="s">
        <v>461</v>
      </c>
      <c r="H545" s="49">
        <v>299001</v>
      </c>
      <c r="I545" s="44" t="str">
        <f>IF(H545&lt;=0,"",VLOOKUP(H545,[4]COG!A:H,2,0))</f>
        <v>Refacciones y accesorios menores otros bienes muebles</v>
      </c>
      <c r="J545" s="39">
        <v>0</v>
      </c>
      <c r="K545" s="39">
        <v>0</v>
      </c>
      <c r="L545" s="50"/>
      <c r="M545" s="50"/>
      <c r="N545" s="1">
        <f>Tabla5[[#This Row],[TRIMESTRE  I]]+Tabla5[[#This Row],[TRIMESTRE II]]+Tabla5[[#This Row],[TRIMESTRE III]]+Tabla5[[#This Row],[TRIMESTRE IV]]</f>
        <v>0</v>
      </c>
      <c r="O545" s="39"/>
      <c r="P545" s="39"/>
      <c r="Q545" s="59"/>
    </row>
    <row r="546" spans="2:17" ht="22.5" x14ac:dyDescent="0.2">
      <c r="B546" s="46">
        <v>514080</v>
      </c>
      <c r="C546" s="47" t="s">
        <v>551</v>
      </c>
      <c r="D546" s="48">
        <v>530</v>
      </c>
      <c r="E546" s="43" t="str">
        <f>IF(D546&lt;=0,"",VLOOKUP(D546,[1]FF!A:D,2,0))</f>
        <v>PARTICIPACIONES Ramo 28</v>
      </c>
      <c r="F546" s="37" t="s">
        <v>553</v>
      </c>
      <c r="G546" s="37" t="s">
        <v>461</v>
      </c>
      <c r="H546" s="49">
        <v>211001</v>
      </c>
      <c r="I546" s="44" t="str">
        <f>IF(H546&lt;=0,"",VLOOKUP(H546,[4]COG!A:H,2,0))</f>
        <v>Material de oficina</v>
      </c>
      <c r="J546" s="39">
        <v>0</v>
      </c>
      <c r="K546" s="39">
        <v>0</v>
      </c>
      <c r="L546" s="50"/>
      <c r="M546" s="50"/>
      <c r="N546" s="1">
        <f>Tabla5[[#This Row],[TRIMESTRE  I]]+Tabla5[[#This Row],[TRIMESTRE II]]+Tabla5[[#This Row],[TRIMESTRE III]]+Tabla5[[#This Row],[TRIMESTRE IV]]</f>
        <v>0</v>
      </c>
      <c r="O546" s="39"/>
      <c r="P546" s="39"/>
      <c r="Q546" s="59"/>
    </row>
    <row r="547" spans="2:17" ht="22.5" x14ac:dyDescent="0.2">
      <c r="B547" s="46">
        <v>514080</v>
      </c>
      <c r="C547" s="47" t="s">
        <v>551</v>
      </c>
      <c r="D547" s="48">
        <v>530</v>
      </c>
      <c r="E547" s="43" t="str">
        <f>IF(D547&lt;=0,"",VLOOKUP(D547,[1]FF!A:D,2,0))</f>
        <v>PARTICIPACIONES Ramo 28</v>
      </c>
      <c r="F547" s="37" t="s">
        <v>553</v>
      </c>
      <c r="G547" s="37" t="s">
        <v>461</v>
      </c>
      <c r="H547" s="49">
        <v>216001</v>
      </c>
      <c r="I547" s="44" t="str">
        <f>IF(H547&lt;=0,"",VLOOKUP(H547,[4]COG!A:H,2,0))</f>
        <v>Material de limpieza</v>
      </c>
      <c r="J547" s="39">
        <v>0</v>
      </c>
      <c r="K547" s="39">
        <v>0</v>
      </c>
      <c r="L547" s="50"/>
      <c r="M547" s="50"/>
      <c r="N547" s="1">
        <f>Tabla5[[#This Row],[TRIMESTRE  I]]+Tabla5[[#This Row],[TRIMESTRE II]]+Tabla5[[#This Row],[TRIMESTRE III]]+Tabla5[[#This Row],[TRIMESTRE IV]]</f>
        <v>0</v>
      </c>
      <c r="O547" s="39"/>
      <c r="P547" s="39"/>
      <c r="Q547" s="59"/>
    </row>
    <row r="548" spans="2:17" ht="22.5" x14ac:dyDescent="0.2">
      <c r="B548" s="46">
        <v>514080</v>
      </c>
      <c r="C548" s="47" t="s">
        <v>551</v>
      </c>
      <c r="D548" s="48">
        <v>530</v>
      </c>
      <c r="E548" s="43" t="str">
        <f>IF(D548&lt;=0,"",VLOOKUP(D548,[1]FF!A:D,2,0))</f>
        <v>PARTICIPACIONES Ramo 28</v>
      </c>
      <c r="F548" s="37" t="s">
        <v>553</v>
      </c>
      <c r="G548" s="37" t="s">
        <v>461</v>
      </c>
      <c r="H548" s="49">
        <v>221001</v>
      </c>
      <c r="I548" s="44" t="str">
        <f>IF(H548&lt;=0,"",VLOOKUP(H548,[4]COG!A:H,2,0))</f>
        <v>Alimentación de personas</v>
      </c>
      <c r="J548" s="39">
        <v>0</v>
      </c>
      <c r="K548" s="39">
        <v>0</v>
      </c>
      <c r="L548" s="50"/>
      <c r="M548" s="50"/>
      <c r="N548" s="1">
        <f>Tabla5[[#This Row],[TRIMESTRE  I]]+Tabla5[[#This Row],[TRIMESTRE II]]+Tabla5[[#This Row],[TRIMESTRE III]]+Tabla5[[#This Row],[TRIMESTRE IV]]</f>
        <v>0</v>
      </c>
      <c r="O548" s="39"/>
      <c r="P548" s="39"/>
      <c r="Q548" s="59"/>
    </row>
    <row r="549" spans="2:17" ht="22.5" x14ac:dyDescent="0.2">
      <c r="B549" s="46">
        <v>514080</v>
      </c>
      <c r="C549" s="47" t="s">
        <v>551</v>
      </c>
      <c r="D549" s="48">
        <v>530</v>
      </c>
      <c r="E549" s="43" t="str">
        <f>IF(D549&lt;=0,"",VLOOKUP(D549,[1]FF!A:D,2,0))</f>
        <v>PARTICIPACIONES Ramo 28</v>
      </c>
      <c r="F549" s="37" t="s">
        <v>553</v>
      </c>
      <c r="G549" s="37" t="s">
        <v>461</v>
      </c>
      <c r="H549" s="49">
        <v>246001</v>
      </c>
      <c r="I549" s="44" t="str">
        <f>IF(H549&lt;=0,"",VLOOKUP(H549,[4]COG!A:H,2,0))</f>
        <v>Material eléctrico</v>
      </c>
      <c r="J549" s="39">
        <v>0</v>
      </c>
      <c r="K549" s="39">
        <v>0</v>
      </c>
      <c r="L549" s="50"/>
      <c r="M549" s="50"/>
      <c r="N549" s="1">
        <f>Tabla5[[#This Row],[TRIMESTRE  I]]+Tabla5[[#This Row],[TRIMESTRE II]]+Tabla5[[#This Row],[TRIMESTRE III]]+Tabla5[[#This Row],[TRIMESTRE IV]]</f>
        <v>0</v>
      </c>
      <c r="O549" s="39"/>
      <c r="P549" s="39"/>
      <c r="Q549" s="59"/>
    </row>
    <row r="550" spans="2:17" ht="22.5" x14ac:dyDescent="0.2">
      <c r="B550" s="46">
        <v>514080</v>
      </c>
      <c r="C550" s="47" t="s">
        <v>551</v>
      </c>
      <c r="D550" s="48">
        <v>530</v>
      </c>
      <c r="E550" s="43" t="str">
        <f>IF(D550&lt;=0,"",VLOOKUP(D550,[1]FF!A:D,2,0))</f>
        <v>PARTICIPACIONES Ramo 28</v>
      </c>
      <c r="F550" s="37" t="s">
        <v>553</v>
      </c>
      <c r="G550" s="37" t="s">
        <v>461</v>
      </c>
      <c r="H550" s="49">
        <v>249002</v>
      </c>
      <c r="I550" s="44" t="str">
        <f>IF(H550&lt;=0,"",VLOOKUP(H550,[4]COG!A:H,2,0))</f>
        <v>Otros materiales de construcción y reparación</v>
      </c>
      <c r="J550" s="39">
        <v>0</v>
      </c>
      <c r="K550" s="39">
        <v>0</v>
      </c>
      <c r="L550" s="50"/>
      <c r="M550" s="50"/>
      <c r="N550" s="1">
        <f>Tabla5[[#This Row],[TRIMESTRE  I]]+Tabla5[[#This Row],[TRIMESTRE II]]+Tabla5[[#This Row],[TRIMESTRE III]]+Tabla5[[#This Row],[TRIMESTRE IV]]</f>
        <v>0</v>
      </c>
      <c r="O550" s="39"/>
      <c r="P550" s="39"/>
      <c r="Q550" s="59"/>
    </row>
    <row r="551" spans="2:17" ht="22.5" x14ac:dyDescent="0.2">
      <c r="B551" s="46">
        <v>514080</v>
      </c>
      <c r="C551" s="47" t="s">
        <v>551</v>
      </c>
      <c r="D551" s="48">
        <v>530</v>
      </c>
      <c r="E551" s="43" t="str">
        <f>IF(D551&lt;=0,"",VLOOKUP(D551,[1]FF!A:D,2,0))</f>
        <v>PARTICIPACIONES Ramo 28</v>
      </c>
      <c r="F551" s="37" t="s">
        <v>553</v>
      </c>
      <c r="G551" s="37" t="s">
        <v>461</v>
      </c>
      <c r="H551" s="49">
        <v>275001</v>
      </c>
      <c r="I551" s="44" t="str">
        <f>IF(H551&lt;=0,"",VLOOKUP(H551,[4]COG!A:H,2,0))</f>
        <v>Blancos y otros productos textiles, excepto prendas de vestir</v>
      </c>
      <c r="J551" s="39">
        <v>0</v>
      </c>
      <c r="K551" s="39">
        <v>0</v>
      </c>
      <c r="L551" s="50"/>
      <c r="M551" s="50"/>
      <c r="N551" s="1">
        <f>Tabla5[[#This Row],[TRIMESTRE  I]]+Tabla5[[#This Row],[TRIMESTRE II]]+Tabla5[[#This Row],[TRIMESTRE III]]+Tabla5[[#This Row],[TRIMESTRE IV]]</f>
        <v>0</v>
      </c>
      <c r="O551" s="39"/>
      <c r="P551" s="39"/>
      <c r="Q551" s="59"/>
    </row>
    <row r="552" spans="2:17" ht="27" x14ac:dyDescent="0.2">
      <c r="B552" s="46">
        <v>514080</v>
      </c>
      <c r="C552" s="47" t="s">
        <v>551</v>
      </c>
      <c r="D552" s="48">
        <v>530</v>
      </c>
      <c r="E552" s="43" t="str">
        <f>IF(D552&lt;=0,"",VLOOKUP(D552,[1]FF!A:D,2,0))</f>
        <v>PARTICIPACIONES Ramo 28</v>
      </c>
      <c r="F552" s="37" t="s">
        <v>553</v>
      </c>
      <c r="G552" s="37" t="s">
        <v>461</v>
      </c>
      <c r="H552" s="49">
        <v>292001</v>
      </c>
      <c r="I552" s="44" t="str">
        <f>IF(H552&lt;=0,"",VLOOKUP(H552,[4]COG!A:H,2,0))</f>
        <v>Refacciones y accesorios menores de edificios (candados, cerraduras, chapas, llaves)</v>
      </c>
      <c r="J552" s="39">
        <v>0</v>
      </c>
      <c r="K552" s="39">
        <v>0</v>
      </c>
      <c r="L552" s="50"/>
      <c r="M552" s="50"/>
      <c r="N552" s="1">
        <f>Tabla5[[#This Row],[TRIMESTRE  I]]+Tabla5[[#This Row],[TRIMESTRE II]]+Tabla5[[#This Row],[TRIMESTRE III]]+Tabla5[[#This Row],[TRIMESTRE IV]]</f>
        <v>0</v>
      </c>
      <c r="O552" s="39"/>
      <c r="P552" s="39"/>
      <c r="Q552" s="59"/>
    </row>
    <row r="553" spans="2:17" ht="22.5" x14ac:dyDescent="0.2">
      <c r="B553" s="46">
        <v>514080</v>
      </c>
      <c r="C553" s="47" t="s">
        <v>551</v>
      </c>
      <c r="D553" s="48">
        <v>530</v>
      </c>
      <c r="E553" s="43" t="str">
        <f>IF(D553&lt;=0,"",VLOOKUP(D553,[1]FF!A:D,2,0))</f>
        <v>PARTICIPACIONES Ramo 28</v>
      </c>
      <c r="F553" s="37" t="s">
        <v>553</v>
      </c>
      <c r="G553" s="37" t="s">
        <v>461</v>
      </c>
      <c r="H553" s="49">
        <v>294001</v>
      </c>
      <c r="I553" s="44" t="str">
        <f>IF(H553&lt;=0,"",VLOOKUP(H553,[4]COG!A:H,2,0))</f>
        <v>Dispositivos Internos y Externos de Equipo de Computo</v>
      </c>
      <c r="J553" s="39">
        <v>0</v>
      </c>
      <c r="K553" s="39">
        <v>0</v>
      </c>
      <c r="L553" s="50"/>
      <c r="M553" s="50"/>
      <c r="N553" s="1">
        <f>Tabla5[[#This Row],[TRIMESTRE  I]]+Tabla5[[#This Row],[TRIMESTRE II]]+Tabla5[[#This Row],[TRIMESTRE III]]+Tabla5[[#This Row],[TRIMESTRE IV]]</f>
        <v>0</v>
      </c>
      <c r="O553" s="39"/>
      <c r="P553" s="39"/>
      <c r="Q553" s="59"/>
    </row>
    <row r="554" spans="2:17" ht="22.5" x14ac:dyDescent="0.2">
      <c r="B554" s="46">
        <v>514080</v>
      </c>
      <c r="C554" s="47" t="s">
        <v>551</v>
      </c>
      <c r="D554" s="48">
        <v>530</v>
      </c>
      <c r="E554" s="43" t="str">
        <f>IF(D554&lt;=0,"",VLOOKUP(D554,[1]FF!A:D,2,0))</f>
        <v>PARTICIPACIONES Ramo 28</v>
      </c>
      <c r="F554" s="37" t="s">
        <v>553</v>
      </c>
      <c r="G554" s="37" t="s">
        <v>461</v>
      </c>
      <c r="H554" s="49">
        <v>299001</v>
      </c>
      <c r="I554" s="44" t="str">
        <f>IF(H554&lt;=0,"",VLOOKUP(H554,[4]COG!A:H,2,0))</f>
        <v>Refacciones y accesorios menores otros bienes muebles</v>
      </c>
      <c r="J554" s="39">
        <v>0</v>
      </c>
      <c r="K554" s="39">
        <v>0</v>
      </c>
      <c r="L554" s="50"/>
      <c r="M554" s="50"/>
      <c r="N554" s="1">
        <f>Tabla5[[#This Row],[TRIMESTRE  I]]+Tabla5[[#This Row],[TRIMESTRE II]]+Tabla5[[#This Row],[TRIMESTRE III]]+Tabla5[[#This Row],[TRIMESTRE IV]]</f>
        <v>0</v>
      </c>
      <c r="O554" s="39"/>
      <c r="P554" s="39"/>
      <c r="Q554" s="59"/>
    </row>
    <row r="555" spans="2:17" ht="22.5" x14ac:dyDescent="0.2">
      <c r="B555" s="46">
        <v>514081</v>
      </c>
      <c r="C555" s="47" t="s">
        <v>551</v>
      </c>
      <c r="D555" s="48">
        <v>530</v>
      </c>
      <c r="E555" s="43" t="str">
        <f>IF(D555&lt;=0,"",VLOOKUP(D555,[1]FF!A:D,2,0))</f>
        <v>PARTICIPACIONES Ramo 28</v>
      </c>
      <c r="F555" s="37" t="s">
        <v>554</v>
      </c>
      <c r="G555" s="37" t="s">
        <v>461</v>
      </c>
      <c r="H555" s="49">
        <v>249002</v>
      </c>
      <c r="I555" s="44" t="str">
        <f>IF(H555&lt;=0,"",VLOOKUP(H555,[4]COG!A:H,2,0))</f>
        <v>Otros materiales de construcción y reparación</v>
      </c>
      <c r="J555" s="39">
        <v>0</v>
      </c>
      <c r="K555" s="39">
        <v>0</v>
      </c>
      <c r="L555" s="50"/>
      <c r="M555" s="50"/>
      <c r="N555" s="1">
        <f>Tabla5[[#This Row],[TRIMESTRE  I]]+Tabla5[[#This Row],[TRIMESTRE II]]+Tabla5[[#This Row],[TRIMESTRE III]]+Tabla5[[#This Row],[TRIMESTRE IV]]</f>
        <v>0</v>
      </c>
      <c r="O555" s="39"/>
      <c r="P555" s="39"/>
      <c r="Q555" s="59"/>
    </row>
    <row r="556" spans="2:17" ht="22.5" x14ac:dyDescent="0.2">
      <c r="B556" s="46">
        <v>514081</v>
      </c>
      <c r="C556" s="47" t="s">
        <v>551</v>
      </c>
      <c r="D556" s="48">
        <v>530</v>
      </c>
      <c r="E556" s="43" t="str">
        <f>IF(D556&lt;=0,"",VLOOKUP(D556,[1]FF!A:D,2,0))</f>
        <v>PARTICIPACIONES Ramo 28</v>
      </c>
      <c r="F556" s="37" t="s">
        <v>554</v>
      </c>
      <c r="G556" s="37" t="s">
        <v>461</v>
      </c>
      <c r="H556" s="49">
        <v>294001</v>
      </c>
      <c r="I556" s="44" t="str">
        <f>IF(H556&lt;=0,"",VLOOKUP(H556,[4]COG!A:H,2,0))</f>
        <v>Dispositivos Internos y Externos de Equipo de Computo</v>
      </c>
      <c r="J556" s="39">
        <v>0</v>
      </c>
      <c r="K556" s="39">
        <v>0</v>
      </c>
      <c r="L556" s="50"/>
      <c r="M556" s="50"/>
      <c r="N556" s="1">
        <f>Tabla5[[#This Row],[TRIMESTRE  I]]+Tabla5[[#This Row],[TRIMESTRE II]]+Tabla5[[#This Row],[TRIMESTRE III]]+Tabla5[[#This Row],[TRIMESTRE IV]]</f>
        <v>0</v>
      </c>
      <c r="O556" s="39"/>
      <c r="P556" s="39"/>
      <c r="Q556" s="59"/>
    </row>
    <row r="557" spans="2:17" ht="22.5" x14ac:dyDescent="0.2">
      <c r="B557" s="46">
        <v>514082</v>
      </c>
      <c r="C557" s="47" t="s">
        <v>551</v>
      </c>
      <c r="D557" s="48">
        <v>530</v>
      </c>
      <c r="E557" s="43" t="str">
        <f>IF(D557&lt;=0,"",VLOOKUP(D557,[1]FF!A:D,2,0))</f>
        <v>PARTICIPACIONES Ramo 28</v>
      </c>
      <c r="F557" s="37" t="s">
        <v>555</v>
      </c>
      <c r="G557" s="37" t="s">
        <v>461</v>
      </c>
      <c r="H557" s="49">
        <v>211001</v>
      </c>
      <c r="I557" s="44" t="str">
        <f>IF(H557&lt;=0,"",VLOOKUP(H557,[4]COG!A:H,2,0))</f>
        <v>Material de oficina</v>
      </c>
      <c r="J557" s="39">
        <v>0</v>
      </c>
      <c r="K557" s="39">
        <v>0</v>
      </c>
      <c r="L557" s="50"/>
      <c r="M557" s="50"/>
      <c r="N557" s="1">
        <f>Tabla5[[#This Row],[TRIMESTRE  I]]+Tabla5[[#This Row],[TRIMESTRE II]]+Tabla5[[#This Row],[TRIMESTRE III]]+Tabla5[[#This Row],[TRIMESTRE IV]]</f>
        <v>0</v>
      </c>
      <c r="O557" s="39"/>
      <c r="P557" s="39"/>
      <c r="Q557" s="59"/>
    </row>
    <row r="558" spans="2:17" ht="22.5" x14ac:dyDescent="0.2">
      <c r="B558" s="46">
        <v>514082</v>
      </c>
      <c r="C558" s="47" t="s">
        <v>551</v>
      </c>
      <c r="D558" s="48">
        <v>530</v>
      </c>
      <c r="E558" s="43" t="str">
        <f>IF(D558&lt;=0,"",VLOOKUP(D558,[1]FF!A:D,2,0))</f>
        <v>PARTICIPACIONES Ramo 28</v>
      </c>
      <c r="F558" s="37" t="s">
        <v>555</v>
      </c>
      <c r="G558" s="37" t="s">
        <v>461</v>
      </c>
      <c r="H558" s="49">
        <v>216001</v>
      </c>
      <c r="I558" s="44" t="str">
        <f>IF(H558&lt;=0,"",VLOOKUP(H558,[4]COG!A:H,2,0))</f>
        <v>Material de limpieza</v>
      </c>
      <c r="J558" s="39">
        <v>0</v>
      </c>
      <c r="K558" s="39">
        <v>0</v>
      </c>
      <c r="L558" s="50"/>
      <c r="M558" s="50"/>
      <c r="N558" s="1">
        <f>Tabla5[[#This Row],[TRIMESTRE  I]]+Tabla5[[#This Row],[TRIMESTRE II]]+Tabla5[[#This Row],[TRIMESTRE III]]+Tabla5[[#This Row],[TRIMESTRE IV]]</f>
        <v>0</v>
      </c>
      <c r="O558" s="39"/>
      <c r="P558" s="39"/>
      <c r="Q558" s="59"/>
    </row>
    <row r="559" spans="2:17" ht="22.5" x14ac:dyDescent="0.2">
      <c r="B559" s="46">
        <v>514082</v>
      </c>
      <c r="C559" s="47" t="s">
        <v>551</v>
      </c>
      <c r="D559" s="48">
        <v>530</v>
      </c>
      <c r="E559" s="43" t="str">
        <f>IF(D559&lt;=0,"",VLOOKUP(D559,[1]FF!A:D,2,0))</f>
        <v>PARTICIPACIONES Ramo 28</v>
      </c>
      <c r="F559" s="37" t="s">
        <v>555</v>
      </c>
      <c r="G559" s="37" t="s">
        <v>461</v>
      </c>
      <c r="H559" s="49">
        <v>221001</v>
      </c>
      <c r="I559" s="44" t="str">
        <f>IF(H559&lt;=0,"",VLOOKUP(H559,[4]COG!A:H,2,0))</f>
        <v>Alimentación de personas</v>
      </c>
      <c r="J559" s="39">
        <v>0</v>
      </c>
      <c r="K559" s="39">
        <v>0</v>
      </c>
      <c r="L559" s="50"/>
      <c r="M559" s="50"/>
      <c r="N559" s="1">
        <f>Tabla5[[#This Row],[TRIMESTRE  I]]+Tabla5[[#This Row],[TRIMESTRE II]]+Tabla5[[#This Row],[TRIMESTRE III]]+Tabla5[[#This Row],[TRIMESTRE IV]]</f>
        <v>0</v>
      </c>
      <c r="O559" s="39"/>
      <c r="P559" s="39"/>
      <c r="Q559" s="59"/>
    </row>
    <row r="560" spans="2:17" ht="22.5" x14ac:dyDescent="0.2">
      <c r="B560" s="46">
        <v>514082</v>
      </c>
      <c r="C560" s="47" t="s">
        <v>551</v>
      </c>
      <c r="D560" s="48">
        <v>530</v>
      </c>
      <c r="E560" s="43" t="str">
        <f>IF(D560&lt;=0,"",VLOOKUP(D560,[1]FF!A:D,2,0))</f>
        <v>PARTICIPACIONES Ramo 28</v>
      </c>
      <c r="F560" s="37" t="s">
        <v>555</v>
      </c>
      <c r="G560" s="37" t="s">
        <v>461</v>
      </c>
      <c r="H560" s="49">
        <v>246001</v>
      </c>
      <c r="I560" s="44" t="str">
        <f>IF(H560&lt;=0,"",VLOOKUP(H560,[4]COG!A:H,2,0))</f>
        <v>Material eléctrico</v>
      </c>
      <c r="J560" s="39">
        <v>0</v>
      </c>
      <c r="K560" s="39">
        <v>0</v>
      </c>
      <c r="L560" s="50"/>
      <c r="M560" s="50"/>
      <c r="N560" s="1">
        <f>Tabla5[[#This Row],[TRIMESTRE  I]]+Tabla5[[#This Row],[TRIMESTRE II]]+Tabla5[[#This Row],[TRIMESTRE III]]+Tabla5[[#This Row],[TRIMESTRE IV]]</f>
        <v>0</v>
      </c>
      <c r="O560" s="39"/>
      <c r="P560" s="39"/>
      <c r="Q560" s="59"/>
    </row>
    <row r="561" spans="2:17" ht="22.5" x14ac:dyDescent="0.2">
      <c r="B561" s="46">
        <v>514082</v>
      </c>
      <c r="C561" s="47" t="s">
        <v>551</v>
      </c>
      <c r="D561" s="48">
        <v>530</v>
      </c>
      <c r="E561" s="43" t="str">
        <f>IF(D561&lt;=0,"",VLOOKUP(D561,[1]FF!A:D,2,0))</f>
        <v>PARTICIPACIONES Ramo 28</v>
      </c>
      <c r="F561" s="37" t="s">
        <v>555</v>
      </c>
      <c r="G561" s="37" t="s">
        <v>461</v>
      </c>
      <c r="H561" s="49">
        <v>249002</v>
      </c>
      <c r="I561" s="44" t="str">
        <f>IF(H561&lt;=0,"",VLOOKUP(H561,[4]COG!A:H,2,0))</f>
        <v>Otros materiales de construcción y reparación</v>
      </c>
      <c r="J561" s="39">
        <v>0</v>
      </c>
      <c r="K561" s="39">
        <v>0</v>
      </c>
      <c r="L561" s="50"/>
      <c r="M561" s="50"/>
      <c r="N561" s="1">
        <f>Tabla5[[#This Row],[TRIMESTRE  I]]+Tabla5[[#This Row],[TRIMESTRE II]]+Tabla5[[#This Row],[TRIMESTRE III]]+Tabla5[[#This Row],[TRIMESTRE IV]]</f>
        <v>0</v>
      </c>
      <c r="O561" s="39"/>
      <c r="P561" s="39"/>
      <c r="Q561" s="59"/>
    </row>
    <row r="562" spans="2:17" ht="22.5" x14ac:dyDescent="0.2">
      <c r="B562" s="46">
        <v>514082</v>
      </c>
      <c r="C562" s="47" t="s">
        <v>551</v>
      </c>
      <c r="D562" s="48">
        <v>530</v>
      </c>
      <c r="E562" s="43" t="str">
        <f>IF(D562&lt;=0,"",VLOOKUP(D562,[1]FF!A:D,2,0))</f>
        <v>PARTICIPACIONES Ramo 28</v>
      </c>
      <c r="F562" s="37" t="s">
        <v>555</v>
      </c>
      <c r="G562" s="37" t="s">
        <v>461</v>
      </c>
      <c r="H562" s="49">
        <v>294001</v>
      </c>
      <c r="I562" s="44" t="str">
        <f>IF(H562&lt;=0,"",VLOOKUP(H562,[4]COG!A:H,2,0))</f>
        <v>Dispositivos Internos y Externos de Equipo de Computo</v>
      </c>
      <c r="J562" s="39">
        <v>0</v>
      </c>
      <c r="K562" s="39">
        <v>0</v>
      </c>
      <c r="L562" s="50"/>
      <c r="M562" s="50"/>
      <c r="N562" s="1">
        <f>Tabla5[[#This Row],[TRIMESTRE  I]]+Tabla5[[#This Row],[TRIMESTRE II]]+Tabla5[[#This Row],[TRIMESTRE III]]+Tabla5[[#This Row],[TRIMESTRE IV]]</f>
        <v>0</v>
      </c>
      <c r="O562" s="39"/>
      <c r="P562" s="39"/>
      <c r="Q562" s="59"/>
    </row>
    <row r="563" spans="2:17" ht="22.5" x14ac:dyDescent="0.2">
      <c r="B563" s="46">
        <v>514082</v>
      </c>
      <c r="C563" s="47" t="s">
        <v>551</v>
      </c>
      <c r="D563" s="48">
        <v>530</v>
      </c>
      <c r="E563" s="43" t="str">
        <f>IF(D563&lt;=0,"",VLOOKUP(D563,[1]FF!A:D,2,0))</f>
        <v>PARTICIPACIONES Ramo 28</v>
      </c>
      <c r="F563" s="37" t="s">
        <v>555</v>
      </c>
      <c r="G563" s="37" t="s">
        <v>461</v>
      </c>
      <c r="H563" s="49">
        <v>299001</v>
      </c>
      <c r="I563" s="44" t="str">
        <f>IF(H563&lt;=0,"",VLOOKUP(H563,[4]COG!A:H,2,0))</f>
        <v>Refacciones y accesorios menores otros bienes muebles</v>
      </c>
      <c r="J563" s="39">
        <v>0</v>
      </c>
      <c r="K563" s="39">
        <v>0</v>
      </c>
      <c r="L563" s="50"/>
      <c r="M563" s="50"/>
      <c r="N563" s="1">
        <f>Tabla5[[#This Row],[TRIMESTRE  I]]+Tabla5[[#This Row],[TRIMESTRE II]]+Tabla5[[#This Row],[TRIMESTRE III]]+Tabla5[[#This Row],[TRIMESTRE IV]]</f>
        <v>0</v>
      </c>
      <c r="O563" s="39"/>
      <c r="P563" s="39"/>
      <c r="Q563" s="59"/>
    </row>
    <row r="564" spans="2:17" ht="27" x14ac:dyDescent="0.2">
      <c r="B564" s="46">
        <v>514083</v>
      </c>
      <c r="C564" s="47" t="s">
        <v>551</v>
      </c>
      <c r="D564" s="48">
        <v>530</v>
      </c>
      <c r="E564" s="43" t="str">
        <f>IF(D564&lt;=0,"",VLOOKUP(D564,[1]FF!A:D,2,0))</f>
        <v>PARTICIPACIONES Ramo 28</v>
      </c>
      <c r="F564" s="37" t="s">
        <v>556</v>
      </c>
      <c r="G564" s="37" t="s">
        <v>461</v>
      </c>
      <c r="H564" s="49">
        <v>214001</v>
      </c>
      <c r="I564" s="44" t="str">
        <f>IF(H564&lt;=0,"",VLOOKUP(H564,[4]COG!A:H,2,0))</f>
        <v>Materiales, útiles y equipos menores de tecnologías de la información y comunicaciones</v>
      </c>
      <c r="J564" s="39">
        <v>0</v>
      </c>
      <c r="K564" s="39">
        <v>0</v>
      </c>
      <c r="L564" s="50"/>
      <c r="M564" s="50"/>
      <c r="N564" s="1">
        <f>Tabla5[[#This Row],[TRIMESTRE  I]]+Tabla5[[#This Row],[TRIMESTRE II]]+Tabla5[[#This Row],[TRIMESTRE III]]+Tabla5[[#This Row],[TRIMESTRE IV]]</f>
        <v>0</v>
      </c>
      <c r="O564" s="39"/>
      <c r="P564" s="39"/>
      <c r="Q564" s="59"/>
    </row>
    <row r="565" spans="2:17" ht="22.5" x14ac:dyDescent="0.2">
      <c r="B565" s="46">
        <v>514083</v>
      </c>
      <c r="C565" s="47" t="s">
        <v>551</v>
      </c>
      <c r="D565" s="48">
        <v>530</v>
      </c>
      <c r="E565" s="43" t="str">
        <f>IF(D565&lt;=0,"",VLOOKUP(D565,[1]FF!A:D,2,0))</f>
        <v>PARTICIPACIONES Ramo 28</v>
      </c>
      <c r="F565" s="37" t="s">
        <v>556</v>
      </c>
      <c r="G565" s="37" t="s">
        <v>461</v>
      </c>
      <c r="H565" s="49">
        <v>246001</v>
      </c>
      <c r="I565" s="44" t="str">
        <f>IF(H565&lt;=0,"",VLOOKUP(H565,[4]COG!A:H,2,0))</f>
        <v>Material eléctrico</v>
      </c>
      <c r="J565" s="39">
        <v>0</v>
      </c>
      <c r="K565" s="39">
        <v>0</v>
      </c>
      <c r="L565" s="50"/>
      <c r="M565" s="50"/>
      <c r="N565" s="1">
        <f>Tabla5[[#This Row],[TRIMESTRE  I]]+Tabla5[[#This Row],[TRIMESTRE II]]+Tabla5[[#This Row],[TRIMESTRE III]]+Tabla5[[#This Row],[TRIMESTRE IV]]</f>
        <v>0</v>
      </c>
      <c r="O565" s="39"/>
      <c r="P565" s="39"/>
      <c r="Q565" s="59"/>
    </row>
    <row r="566" spans="2:17" ht="22.5" x14ac:dyDescent="0.2">
      <c r="B566" s="46">
        <v>514083</v>
      </c>
      <c r="C566" s="47" t="s">
        <v>551</v>
      </c>
      <c r="D566" s="48">
        <v>530</v>
      </c>
      <c r="E566" s="43" t="str">
        <f>IF(D566&lt;=0,"",VLOOKUP(D566,[1]FF!A:D,2,0))</f>
        <v>PARTICIPACIONES Ramo 28</v>
      </c>
      <c r="F566" s="37" t="s">
        <v>556</v>
      </c>
      <c r="G566" s="37" t="s">
        <v>461</v>
      </c>
      <c r="H566" s="49">
        <v>249001</v>
      </c>
      <c r="I566" s="44" t="str">
        <f>IF(H566&lt;=0,"",VLOOKUP(H566,[4]COG!A:H,2,0))</f>
        <v>Materiales de construcción y complementarios</v>
      </c>
      <c r="J566" s="39">
        <v>0</v>
      </c>
      <c r="K566" s="39">
        <v>0</v>
      </c>
      <c r="L566" s="50"/>
      <c r="M566" s="50"/>
      <c r="N566" s="1">
        <f>Tabla5[[#This Row],[TRIMESTRE  I]]+Tabla5[[#This Row],[TRIMESTRE II]]+Tabla5[[#This Row],[TRIMESTRE III]]+Tabla5[[#This Row],[TRIMESTRE IV]]</f>
        <v>0</v>
      </c>
      <c r="O566" s="39"/>
      <c r="P566" s="39"/>
      <c r="Q566" s="59"/>
    </row>
    <row r="567" spans="2:17" ht="22.5" x14ac:dyDescent="0.2">
      <c r="B567" s="46">
        <v>514083</v>
      </c>
      <c r="C567" s="47" t="s">
        <v>551</v>
      </c>
      <c r="D567" s="48">
        <v>530</v>
      </c>
      <c r="E567" s="43" t="str">
        <f>IF(D567&lt;=0,"",VLOOKUP(D567,[1]FF!A:D,2,0))</f>
        <v>PARTICIPACIONES Ramo 28</v>
      </c>
      <c r="F567" s="37" t="s">
        <v>556</v>
      </c>
      <c r="G567" s="37" t="s">
        <v>461</v>
      </c>
      <c r="H567" s="49">
        <v>256001</v>
      </c>
      <c r="I567" s="44" t="str">
        <f>IF(H567&lt;=0,"",VLOOKUP(H567,[4]COG!A:H,2,0))</f>
        <v>Fibras sintéticas, hules, plásticos y derivados</v>
      </c>
      <c r="J567" s="39">
        <v>0</v>
      </c>
      <c r="K567" s="39">
        <v>0</v>
      </c>
      <c r="L567" s="50"/>
      <c r="M567" s="50"/>
      <c r="N567" s="1">
        <f>Tabla5[[#This Row],[TRIMESTRE  I]]+Tabla5[[#This Row],[TRIMESTRE II]]+Tabla5[[#This Row],[TRIMESTRE III]]+Tabla5[[#This Row],[TRIMESTRE IV]]</f>
        <v>0</v>
      </c>
      <c r="O567" s="39"/>
      <c r="P567" s="39"/>
      <c r="Q567" s="59"/>
    </row>
    <row r="568" spans="2:17" ht="22.5" x14ac:dyDescent="0.2">
      <c r="B568" s="46">
        <v>514083</v>
      </c>
      <c r="C568" s="47" t="s">
        <v>551</v>
      </c>
      <c r="D568" s="48">
        <v>530</v>
      </c>
      <c r="E568" s="43" t="str">
        <f>IF(D568&lt;=0,"",VLOOKUP(D568,[1]FF!A:D,2,0))</f>
        <v>PARTICIPACIONES Ramo 28</v>
      </c>
      <c r="F568" s="37" t="s">
        <v>556</v>
      </c>
      <c r="G568" s="37" t="s">
        <v>461</v>
      </c>
      <c r="H568" s="49">
        <v>291001</v>
      </c>
      <c r="I568" s="44" t="str">
        <f>IF(H568&lt;=0,"",VLOOKUP(H568,[4]COG!A:H,2,0))</f>
        <v>Herramientas Auxiliares de Trabajo</v>
      </c>
      <c r="J568" s="39">
        <v>0</v>
      </c>
      <c r="K568" s="39">
        <v>0</v>
      </c>
      <c r="L568" s="50"/>
      <c r="M568" s="50"/>
      <c r="N568" s="1">
        <f>Tabla5[[#This Row],[TRIMESTRE  I]]+Tabla5[[#This Row],[TRIMESTRE II]]+Tabla5[[#This Row],[TRIMESTRE III]]+Tabla5[[#This Row],[TRIMESTRE IV]]</f>
        <v>0</v>
      </c>
      <c r="O568" s="39"/>
      <c r="P568" s="39"/>
      <c r="Q568" s="59"/>
    </row>
    <row r="569" spans="2:17" ht="22.5" x14ac:dyDescent="0.2">
      <c r="B569" s="46">
        <v>514083</v>
      </c>
      <c r="C569" s="47" t="s">
        <v>551</v>
      </c>
      <c r="D569" s="48">
        <v>530</v>
      </c>
      <c r="E569" s="43" t="str">
        <f>IF(D569&lt;=0,"",VLOOKUP(D569,[1]FF!A:D,2,0))</f>
        <v>PARTICIPACIONES Ramo 28</v>
      </c>
      <c r="F569" s="37" t="s">
        <v>556</v>
      </c>
      <c r="G569" s="37" t="s">
        <v>461</v>
      </c>
      <c r="H569" s="49">
        <v>294001</v>
      </c>
      <c r="I569" s="44" t="str">
        <f>IF(H569&lt;=0,"",VLOOKUP(H569,[4]COG!A:H,2,0))</f>
        <v>Dispositivos Internos y Externos de Equipo de Computo</v>
      </c>
      <c r="J569" s="39">
        <v>0</v>
      </c>
      <c r="K569" s="39">
        <v>0</v>
      </c>
      <c r="L569" s="50"/>
      <c r="M569" s="50"/>
      <c r="N569" s="1">
        <f>Tabla5[[#This Row],[TRIMESTRE  I]]+Tabla5[[#This Row],[TRIMESTRE II]]+Tabla5[[#This Row],[TRIMESTRE III]]+Tabla5[[#This Row],[TRIMESTRE IV]]</f>
        <v>0</v>
      </c>
      <c r="O569" s="39"/>
      <c r="P569" s="39"/>
      <c r="Q569" s="59"/>
    </row>
    <row r="570" spans="2:17" ht="22.5" x14ac:dyDescent="0.2">
      <c r="B570" s="46">
        <v>515085</v>
      </c>
      <c r="C570" s="47" t="s">
        <v>557</v>
      </c>
      <c r="D570" s="48">
        <v>530</v>
      </c>
      <c r="E570" s="43" t="str">
        <f>IF(D570&lt;=0,"",VLOOKUP(D570,[1]FF!A:D,2,0))</f>
        <v>PARTICIPACIONES Ramo 28</v>
      </c>
      <c r="F570" s="37" t="s">
        <v>558</v>
      </c>
      <c r="G570" s="37" t="s">
        <v>461</v>
      </c>
      <c r="H570" s="49">
        <v>211001</v>
      </c>
      <c r="I570" s="44" t="str">
        <f>IF(H570&lt;=0,"",VLOOKUP(H570,[4]COG!A:H,2,0))</f>
        <v>Material de oficina</v>
      </c>
      <c r="J570" s="39">
        <v>600</v>
      </c>
      <c r="K570" s="39">
        <v>600</v>
      </c>
      <c r="L570" s="50"/>
      <c r="M570" s="50"/>
      <c r="N570" s="1">
        <f>Tabla5[[#This Row],[TRIMESTRE  I]]+Tabla5[[#This Row],[TRIMESTRE II]]+Tabla5[[#This Row],[TRIMESTRE III]]+Tabla5[[#This Row],[TRIMESTRE IV]]</f>
        <v>1200</v>
      </c>
      <c r="O570" s="39"/>
      <c r="P570" s="39"/>
      <c r="Q570" s="59"/>
    </row>
    <row r="571" spans="2:17" ht="22.5" x14ac:dyDescent="0.2">
      <c r="B571" s="46">
        <v>515085</v>
      </c>
      <c r="C571" s="47" t="s">
        <v>557</v>
      </c>
      <c r="D571" s="48">
        <v>530</v>
      </c>
      <c r="E571" s="43" t="str">
        <f>IF(D571&lt;=0,"",VLOOKUP(D571,[1]FF!A:D,2,0))</f>
        <v>PARTICIPACIONES Ramo 28</v>
      </c>
      <c r="F571" s="37" t="s">
        <v>558</v>
      </c>
      <c r="G571" s="37" t="s">
        <v>461</v>
      </c>
      <c r="H571" s="49">
        <v>212001</v>
      </c>
      <c r="I571" s="44" t="str">
        <f>IF(H571&lt;=0,"",VLOOKUP(H571,[4]COG!A:H,2,0))</f>
        <v>Material y útiles de impresión</v>
      </c>
      <c r="J571" s="39">
        <v>843</v>
      </c>
      <c r="K571" s="39">
        <v>844</v>
      </c>
      <c r="L571" s="50"/>
      <c r="M571" s="50"/>
      <c r="N571" s="1">
        <f>Tabla5[[#This Row],[TRIMESTRE  I]]+Tabla5[[#This Row],[TRIMESTRE II]]+Tabla5[[#This Row],[TRIMESTRE III]]+Tabla5[[#This Row],[TRIMESTRE IV]]</f>
        <v>1687</v>
      </c>
      <c r="O571" s="39"/>
      <c r="P571" s="39"/>
      <c r="Q571" s="59"/>
    </row>
    <row r="572" spans="2:17" ht="27" x14ac:dyDescent="0.2">
      <c r="B572" s="46">
        <v>515085</v>
      </c>
      <c r="C572" s="47" t="s">
        <v>557</v>
      </c>
      <c r="D572" s="48">
        <v>530</v>
      </c>
      <c r="E572" s="43" t="str">
        <f>IF(D572&lt;=0,"",VLOOKUP(D572,[1]FF!A:D,2,0))</f>
        <v>PARTICIPACIONES Ramo 28</v>
      </c>
      <c r="F572" s="37" t="s">
        <v>558</v>
      </c>
      <c r="G572" s="37" t="s">
        <v>461</v>
      </c>
      <c r="H572" s="49">
        <v>214001</v>
      </c>
      <c r="I572" s="44" t="str">
        <f>IF(H572&lt;=0,"",VLOOKUP(H572,[4]COG!A:H,2,0))</f>
        <v>Materiales, útiles y equipos menores de tecnologías de la información y comunicaciones</v>
      </c>
      <c r="J572" s="39">
        <v>34425</v>
      </c>
      <c r="K572" s="39">
        <v>34425</v>
      </c>
      <c r="L572" s="50"/>
      <c r="M572" s="50"/>
      <c r="N572" s="1">
        <f>Tabla5[[#This Row],[TRIMESTRE  I]]+Tabla5[[#This Row],[TRIMESTRE II]]+Tabla5[[#This Row],[TRIMESTRE III]]+Tabla5[[#This Row],[TRIMESTRE IV]]</f>
        <v>68850</v>
      </c>
      <c r="O572" s="39"/>
      <c r="P572" s="39"/>
      <c r="Q572" s="59"/>
    </row>
    <row r="573" spans="2:17" ht="22.5" x14ac:dyDescent="0.2">
      <c r="B573" s="46">
        <v>515085</v>
      </c>
      <c r="C573" s="47" t="s">
        <v>557</v>
      </c>
      <c r="D573" s="48">
        <v>530</v>
      </c>
      <c r="E573" s="43" t="str">
        <f>IF(D573&lt;=0,"",VLOOKUP(D573,[1]FF!A:D,2,0))</f>
        <v>PARTICIPACIONES Ramo 28</v>
      </c>
      <c r="F573" s="37" t="s">
        <v>558</v>
      </c>
      <c r="G573" s="37" t="s">
        <v>461</v>
      </c>
      <c r="H573" s="49">
        <v>216001</v>
      </c>
      <c r="I573" s="44" t="str">
        <f>IF(H573&lt;=0,"",VLOOKUP(H573,[4]COG!A:H,2,0))</f>
        <v>Material de limpieza</v>
      </c>
      <c r="J573" s="39">
        <v>267</v>
      </c>
      <c r="K573" s="39">
        <v>266</v>
      </c>
      <c r="L573" s="50"/>
      <c r="M573" s="50"/>
      <c r="N573" s="1">
        <f>Tabla5[[#This Row],[TRIMESTRE  I]]+Tabla5[[#This Row],[TRIMESTRE II]]+Tabla5[[#This Row],[TRIMESTRE III]]+Tabla5[[#This Row],[TRIMESTRE IV]]</f>
        <v>533</v>
      </c>
      <c r="O573" s="39"/>
      <c r="P573" s="39"/>
      <c r="Q573" s="59"/>
    </row>
    <row r="574" spans="2:17" ht="22.5" x14ac:dyDescent="0.2">
      <c r="B574" s="46">
        <v>515085</v>
      </c>
      <c r="C574" s="47" t="s">
        <v>557</v>
      </c>
      <c r="D574" s="48">
        <v>530</v>
      </c>
      <c r="E574" s="43" t="str">
        <f>IF(D574&lt;=0,"",VLOOKUP(D574,[1]FF!A:D,2,0))</f>
        <v>PARTICIPACIONES Ramo 28</v>
      </c>
      <c r="F574" s="37" t="s">
        <v>558</v>
      </c>
      <c r="G574" s="37" t="s">
        <v>461</v>
      </c>
      <c r="H574" s="49">
        <v>221001</v>
      </c>
      <c r="I574" s="44" t="str">
        <f>IF(H574&lt;=0,"",VLOOKUP(H574,[4]COG!A:H,2,0))</f>
        <v>Alimentación de personas</v>
      </c>
      <c r="J574" s="39">
        <v>0</v>
      </c>
      <c r="K574" s="39">
        <v>0</v>
      </c>
      <c r="L574" s="50"/>
      <c r="M574" s="50"/>
      <c r="N574" s="1">
        <f>Tabla5[[#This Row],[TRIMESTRE  I]]+Tabla5[[#This Row],[TRIMESTRE II]]+Tabla5[[#This Row],[TRIMESTRE III]]+Tabla5[[#This Row],[TRIMESTRE IV]]</f>
        <v>0</v>
      </c>
      <c r="O574" s="39"/>
      <c r="P574" s="39"/>
      <c r="Q574" s="59"/>
    </row>
    <row r="575" spans="2:17" ht="22.5" x14ac:dyDescent="0.2">
      <c r="B575" s="46">
        <v>515085</v>
      </c>
      <c r="C575" s="47" t="s">
        <v>557</v>
      </c>
      <c r="D575" s="48">
        <v>530</v>
      </c>
      <c r="E575" s="43" t="str">
        <f>IF(D575&lt;=0,"",VLOOKUP(D575,[1]FF!A:D,2,0))</f>
        <v>PARTICIPACIONES Ramo 28</v>
      </c>
      <c r="F575" s="37" t="s">
        <v>558</v>
      </c>
      <c r="G575" s="37" t="s">
        <v>461</v>
      </c>
      <c r="H575" s="49">
        <v>261001</v>
      </c>
      <c r="I575" s="44" t="str">
        <f>IF(H575&lt;=0,"",VLOOKUP(H575,[4]COG!A:H,2,0))</f>
        <v>Combustibles</v>
      </c>
      <c r="J575" s="39">
        <v>1554</v>
      </c>
      <c r="K575" s="39">
        <v>1555</v>
      </c>
      <c r="L575" s="50"/>
      <c r="M575" s="50"/>
      <c r="N575" s="1">
        <f>Tabla5[[#This Row],[TRIMESTRE  I]]+Tabla5[[#This Row],[TRIMESTRE II]]+Tabla5[[#This Row],[TRIMESTRE III]]+Tabla5[[#This Row],[TRIMESTRE IV]]</f>
        <v>3109</v>
      </c>
      <c r="O575" s="39"/>
      <c r="P575" s="39"/>
      <c r="Q575" s="59"/>
    </row>
    <row r="576" spans="2:17" ht="27" x14ac:dyDescent="0.2">
      <c r="B576" s="46">
        <v>515085</v>
      </c>
      <c r="C576" s="47" t="s">
        <v>557</v>
      </c>
      <c r="D576" s="48">
        <v>530</v>
      </c>
      <c r="E576" s="43" t="str">
        <f>IF(D576&lt;=0,"",VLOOKUP(D576,[1]FF!A:D,2,0))</f>
        <v>PARTICIPACIONES Ramo 28</v>
      </c>
      <c r="F576" s="37" t="s">
        <v>558</v>
      </c>
      <c r="G576" s="37" t="s">
        <v>461</v>
      </c>
      <c r="H576" s="49">
        <v>293001</v>
      </c>
      <c r="I576" s="44" t="str">
        <f>IF(H576&lt;=0,"",VLOOKUP(H576,[4]COG!A:H,2,0))</f>
        <v>Refacciones y accesorios menores de mobiliario y equipo de administración, educacional y recreativo</v>
      </c>
      <c r="J576" s="39">
        <v>0</v>
      </c>
      <c r="K576" s="39">
        <v>0</v>
      </c>
      <c r="L576" s="50"/>
      <c r="M576" s="50"/>
      <c r="N576" s="1">
        <f>Tabla5[[#This Row],[TRIMESTRE  I]]+Tabla5[[#This Row],[TRIMESTRE II]]+Tabla5[[#This Row],[TRIMESTRE III]]+Tabla5[[#This Row],[TRIMESTRE IV]]</f>
        <v>0</v>
      </c>
      <c r="O576" s="39"/>
      <c r="P576" s="39"/>
      <c r="Q576" s="59"/>
    </row>
    <row r="577" spans="2:17" ht="22.5" x14ac:dyDescent="0.2">
      <c r="B577" s="46">
        <v>515085</v>
      </c>
      <c r="C577" s="47" t="s">
        <v>557</v>
      </c>
      <c r="D577" s="48">
        <v>530</v>
      </c>
      <c r="E577" s="43" t="str">
        <f>IF(D577&lt;=0,"",VLOOKUP(D577,[1]FF!A:D,2,0))</f>
        <v>PARTICIPACIONES Ramo 28</v>
      </c>
      <c r="F577" s="37" t="s">
        <v>558</v>
      </c>
      <c r="G577" s="37" t="s">
        <v>461</v>
      </c>
      <c r="H577" s="49">
        <v>294001</v>
      </c>
      <c r="I577" s="44" t="str">
        <f>IF(H577&lt;=0,"",VLOOKUP(H577,[4]COG!A:H,2,0))</f>
        <v>Dispositivos Internos y Externos de Equipo de Computo</v>
      </c>
      <c r="J577" s="39">
        <v>0</v>
      </c>
      <c r="K577" s="39">
        <v>0</v>
      </c>
      <c r="L577" s="50"/>
      <c r="M577" s="50"/>
      <c r="N577" s="1">
        <f>Tabla5[[#This Row],[TRIMESTRE  I]]+Tabla5[[#This Row],[TRIMESTRE II]]+Tabla5[[#This Row],[TRIMESTRE III]]+Tabla5[[#This Row],[TRIMESTRE IV]]</f>
        <v>0</v>
      </c>
      <c r="O577" s="39"/>
      <c r="P577" s="39"/>
      <c r="Q577" s="59"/>
    </row>
    <row r="578" spans="2:17" ht="22.5" x14ac:dyDescent="0.2">
      <c r="B578" s="46">
        <v>515085</v>
      </c>
      <c r="C578" s="47" t="s">
        <v>557</v>
      </c>
      <c r="D578" s="48">
        <v>530</v>
      </c>
      <c r="E578" s="43" t="str">
        <f>IF(D578&lt;=0,"",VLOOKUP(D578,[1]FF!A:D,2,0))</f>
        <v>PARTICIPACIONES Ramo 28</v>
      </c>
      <c r="F578" s="37" t="s">
        <v>558</v>
      </c>
      <c r="G578" s="37" t="s">
        <v>461</v>
      </c>
      <c r="H578" s="49">
        <v>294002</v>
      </c>
      <c r="I578" s="44" t="str">
        <f>IF(H578&lt;=0,"",VLOOKUP(H578,[4]COG!A:H,2,0))</f>
        <v>Refacciones y Accesorios Menores de Equipo de Computo</v>
      </c>
      <c r="J578" s="39">
        <v>0</v>
      </c>
      <c r="K578" s="39">
        <v>0</v>
      </c>
      <c r="L578" s="50"/>
      <c r="M578" s="50"/>
      <c r="N578" s="1">
        <f>Tabla5[[#This Row],[TRIMESTRE  I]]+Tabla5[[#This Row],[TRIMESTRE II]]+Tabla5[[#This Row],[TRIMESTRE III]]+Tabla5[[#This Row],[TRIMESTRE IV]]</f>
        <v>0</v>
      </c>
      <c r="O578" s="39"/>
      <c r="P578" s="39"/>
      <c r="Q578" s="59"/>
    </row>
    <row r="579" spans="2:17" ht="33.75" x14ac:dyDescent="0.2">
      <c r="B579" s="46">
        <v>515086</v>
      </c>
      <c r="C579" s="47" t="s">
        <v>557</v>
      </c>
      <c r="D579" s="48">
        <v>530</v>
      </c>
      <c r="E579" s="43" t="str">
        <f>IF(D579&lt;=0,"",VLOOKUP(D579,[1]FF!A:D,2,0))</f>
        <v>PARTICIPACIONES Ramo 28</v>
      </c>
      <c r="F579" s="37" t="s">
        <v>559</v>
      </c>
      <c r="G579" s="37" t="s">
        <v>461</v>
      </c>
      <c r="H579" s="49">
        <v>211001</v>
      </c>
      <c r="I579" s="44" t="str">
        <f>IF(H579&lt;=0,"",VLOOKUP(H579,[4]COG!A:H,2,0))</f>
        <v>Material de oficina</v>
      </c>
      <c r="J579" s="39">
        <v>0</v>
      </c>
      <c r="K579" s="39">
        <v>0</v>
      </c>
      <c r="L579" s="50"/>
      <c r="M579" s="50"/>
      <c r="N579" s="1">
        <f>Tabla5[[#This Row],[TRIMESTRE  I]]+Tabla5[[#This Row],[TRIMESTRE II]]+Tabla5[[#This Row],[TRIMESTRE III]]+Tabla5[[#This Row],[TRIMESTRE IV]]</f>
        <v>0</v>
      </c>
      <c r="O579" s="39"/>
      <c r="P579" s="39"/>
      <c r="Q579" s="59"/>
    </row>
    <row r="580" spans="2:17" ht="33.75" x14ac:dyDescent="0.2">
      <c r="B580" s="46">
        <v>515086</v>
      </c>
      <c r="C580" s="47" t="s">
        <v>557</v>
      </c>
      <c r="D580" s="48">
        <v>530</v>
      </c>
      <c r="E580" s="43" t="str">
        <f>IF(D580&lt;=0,"",VLOOKUP(D580,[1]FF!A:D,2,0))</f>
        <v>PARTICIPACIONES Ramo 28</v>
      </c>
      <c r="F580" s="37" t="s">
        <v>559</v>
      </c>
      <c r="G580" s="37" t="s">
        <v>461</v>
      </c>
      <c r="H580" s="49">
        <v>216001</v>
      </c>
      <c r="I580" s="44" t="str">
        <f>IF(H580&lt;=0,"",VLOOKUP(H580,[4]COG!A:H,2,0))</f>
        <v>Material de limpieza</v>
      </c>
      <c r="J580" s="39">
        <v>0</v>
      </c>
      <c r="K580" s="39">
        <v>0</v>
      </c>
      <c r="L580" s="50"/>
      <c r="M580" s="50"/>
      <c r="N580" s="1">
        <f>Tabla5[[#This Row],[TRIMESTRE  I]]+Tabla5[[#This Row],[TRIMESTRE II]]+Tabla5[[#This Row],[TRIMESTRE III]]+Tabla5[[#This Row],[TRIMESTRE IV]]</f>
        <v>0</v>
      </c>
      <c r="O580" s="39"/>
      <c r="P580" s="39"/>
      <c r="Q580" s="59"/>
    </row>
    <row r="581" spans="2:17" ht="33.75" x14ac:dyDescent="0.2">
      <c r="B581" s="46">
        <v>515086</v>
      </c>
      <c r="C581" s="47" t="s">
        <v>557</v>
      </c>
      <c r="D581" s="48">
        <v>530</v>
      </c>
      <c r="E581" s="43" t="str">
        <f>IF(D581&lt;=0,"",VLOOKUP(D581,[1]FF!A:D,2,0))</f>
        <v>PARTICIPACIONES Ramo 28</v>
      </c>
      <c r="F581" s="37" t="s">
        <v>559</v>
      </c>
      <c r="G581" s="37" t="s">
        <v>461</v>
      </c>
      <c r="H581" s="49">
        <v>221001</v>
      </c>
      <c r="I581" s="44" t="str">
        <f>IF(H581&lt;=0,"",VLOOKUP(H581,[4]COG!A:H,2,0))</f>
        <v>Alimentación de personas</v>
      </c>
      <c r="J581" s="39">
        <v>0</v>
      </c>
      <c r="K581" s="39">
        <v>0</v>
      </c>
      <c r="L581" s="50"/>
      <c r="M581" s="50"/>
      <c r="N581" s="1">
        <f>Tabla5[[#This Row],[TRIMESTRE  I]]+Tabla5[[#This Row],[TRIMESTRE II]]+Tabla5[[#This Row],[TRIMESTRE III]]+Tabla5[[#This Row],[TRIMESTRE IV]]</f>
        <v>0</v>
      </c>
      <c r="O581" s="39"/>
      <c r="P581" s="39"/>
      <c r="Q581" s="59"/>
    </row>
    <row r="582" spans="2:17" ht="33.75" x14ac:dyDescent="0.2">
      <c r="B582" s="46">
        <v>515086</v>
      </c>
      <c r="C582" s="47" t="s">
        <v>557</v>
      </c>
      <c r="D582" s="48">
        <v>530</v>
      </c>
      <c r="E582" s="43" t="str">
        <f>IF(D582&lt;=0,"",VLOOKUP(D582,[1]FF!A:D,2,0))</f>
        <v>PARTICIPACIONES Ramo 28</v>
      </c>
      <c r="F582" s="37" t="s">
        <v>559</v>
      </c>
      <c r="G582" s="37" t="s">
        <v>461</v>
      </c>
      <c r="H582" s="49">
        <v>223001</v>
      </c>
      <c r="I582" s="44" t="str">
        <f>IF(H582&lt;=0,"",VLOOKUP(H582,[4]COG!A:H,2,0))</f>
        <v>Utensilios para el servicio de alimentación</v>
      </c>
      <c r="J582" s="39">
        <v>0</v>
      </c>
      <c r="K582" s="39">
        <v>0</v>
      </c>
      <c r="L582" s="50"/>
      <c r="M582" s="50"/>
      <c r="N582" s="1">
        <f>Tabla5[[#This Row],[TRIMESTRE  I]]+Tabla5[[#This Row],[TRIMESTRE II]]+Tabla5[[#This Row],[TRIMESTRE III]]+Tabla5[[#This Row],[TRIMESTRE IV]]</f>
        <v>0</v>
      </c>
      <c r="O582" s="39"/>
      <c r="P582" s="39"/>
      <c r="Q582" s="59"/>
    </row>
    <row r="583" spans="2:17" ht="33.75" x14ac:dyDescent="0.2">
      <c r="B583" s="46">
        <v>515086</v>
      </c>
      <c r="C583" s="47" t="s">
        <v>557</v>
      </c>
      <c r="D583" s="48">
        <v>530</v>
      </c>
      <c r="E583" s="43" t="str">
        <f>IF(D583&lt;=0,"",VLOOKUP(D583,[1]FF!A:D,2,0))</f>
        <v>PARTICIPACIONES Ramo 28</v>
      </c>
      <c r="F583" s="37" t="s">
        <v>559</v>
      </c>
      <c r="G583" s="37" t="s">
        <v>461</v>
      </c>
      <c r="H583" s="49">
        <v>246001</v>
      </c>
      <c r="I583" s="44" t="str">
        <f>IF(H583&lt;=0,"",VLOOKUP(H583,[4]COG!A:H,2,0))</f>
        <v>Material eléctrico</v>
      </c>
      <c r="J583" s="39">
        <v>0</v>
      </c>
      <c r="K583" s="39">
        <v>0</v>
      </c>
      <c r="L583" s="50"/>
      <c r="M583" s="50"/>
      <c r="N583" s="1">
        <f>Tabla5[[#This Row],[TRIMESTRE  I]]+Tabla5[[#This Row],[TRIMESTRE II]]+Tabla5[[#This Row],[TRIMESTRE III]]+Tabla5[[#This Row],[TRIMESTRE IV]]</f>
        <v>0</v>
      </c>
      <c r="O583" s="39"/>
      <c r="P583" s="39"/>
      <c r="Q583" s="59"/>
    </row>
    <row r="584" spans="2:17" ht="33.75" x14ac:dyDescent="0.2">
      <c r="B584" s="46">
        <v>515086</v>
      </c>
      <c r="C584" s="47" t="s">
        <v>557</v>
      </c>
      <c r="D584" s="48">
        <v>530</v>
      </c>
      <c r="E584" s="43" t="str">
        <f>IF(D584&lt;=0,"",VLOOKUP(D584,[1]FF!A:D,2,0))</f>
        <v>PARTICIPACIONES Ramo 28</v>
      </c>
      <c r="F584" s="37" t="s">
        <v>559</v>
      </c>
      <c r="G584" s="37" t="s">
        <v>461</v>
      </c>
      <c r="H584" s="49">
        <v>247001</v>
      </c>
      <c r="I584" s="44" t="str">
        <f>IF(H584&lt;=0,"",VLOOKUP(H584,[4]COG!A:H,2,0))</f>
        <v>Artículos metálicos para la construcción</v>
      </c>
      <c r="J584" s="39">
        <v>0</v>
      </c>
      <c r="K584" s="39">
        <v>0</v>
      </c>
      <c r="L584" s="50"/>
      <c r="M584" s="50"/>
      <c r="N584" s="1">
        <f>Tabla5[[#This Row],[TRIMESTRE  I]]+Tabla5[[#This Row],[TRIMESTRE II]]+Tabla5[[#This Row],[TRIMESTRE III]]+Tabla5[[#This Row],[TRIMESTRE IV]]</f>
        <v>0</v>
      </c>
      <c r="O584" s="39"/>
      <c r="P584" s="39"/>
      <c r="Q584" s="59"/>
    </row>
    <row r="585" spans="2:17" ht="33.75" x14ac:dyDescent="0.2">
      <c r="B585" s="46">
        <v>515086</v>
      </c>
      <c r="C585" s="47" t="s">
        <v>557</v>
      </c>
      <c r="D585" s="48">
        <v>530</v>
      </c>
      <c r="E585" s="43" t="str">
        <f>IF(D585&lt;=0,"",VLOOKUP(D585,[1]FF!A:D,2,0))</f>
        <v>PARTICIPACIONES Ramo 28</v>
      </c>
      <c r="F585" s="37" t="s">
        <v>559</v>
      </c>
      <c r="G585" s="37" t="s">
        <v>461</v>
      </c>
      <c r="H585" s="49">
        <v>249002</v>
      </c>
      <c r="I585" s="44" t="str">
        <f>IF(H585&lt;=0,"",VLOOKUP(H585,[4]COG!A:H,2,0))</f>
        <v>Otros materiales de construcción y reparación</v>
      </c>
      <c r="J585" s="39">
        <v>0</v>
      </c>
      <c r="K585" s="39">
        <v>0</v>
      </c>
      <c r="L585" s="50"/>
      <c r="M585" s="50"/>
      <c r="N585" s="1">
        <f>Tabla5[[#This Row],[TRIMESTRE  I]]+Tabla5[[#This Row],[TRIMESTRE II]]+Tabla5[[#This Row],[TRIMESTRE III]]+Tabla5[[#This Row],[TRIMESTRE IV]]</f>
        <v>0</v>
      </c>
      <c r="O585" s="39"/>
      <c r="P585" s="39"/>
      <c r="Q585" s="59"/>
    </row>
    <row r="586" spans="2:17" ht="33.75" x14ac:dyDescent="0.2">
      <c r="B586" s="46">
        <v>515086</v>
      </c>
      <c r="C586" s="47" t="s">
        <v>557</v>
      </c>
      <c r="D586" s="48">
        <v>530</v>
      </c>
      <c r="E586" s="43" t="str">
        <f>IF(D586&lt;=0,"",VLOOKUP(D586,[1]FF!A:D,2,0))</f>
        <v>PARTICIPACIONES Ramo 28</v>
      </c>
      <c r="F586" s="37" t="s">
        <v>559</v>
      </c>
      <c r="G586" s="37" t="s">
        <v>461</v>
      </c>
      <c r="H586" s="49">
        <v>291001</v>
      </c>
      <c r="I586" s="44" t="str">
        <f>IF(H586&lt;=0,"",VLOOKUP(H586,[4]COG!A:H,2,0))</f>
        <v>Herramientas Auxiliares de Trabajo</v>
      </c>
      <c r="J586" s="39">
        <v>0</v>
      </c>
      <c r="K586" s="39">
        <v>0</v>
      </c>
      <c r="L586" s="50"/>
      <c r="M586" s="50"/>
      <c r="N586" s="1">
        <f>Tabla5[[#This Row],[TRIMESTRE  I]]+Tabla5[[#This Row],[TRIMESTRE II]]+Tabla5[[#This Row],[TRIMESTRE III]]+Tabla5[[#This Row],[TRIMESTRE IV]]</f>
        <v>0</v>
      </c>
      <c r="O586" s="39"/>
      <c r="P586" s="39"/>
      <c r="Q586" s="59"/>
    </row>
    <row r="587" spans="2:17" ht="33.75" x14ac:dyDescent="0.2">
      <c r="B587" s="46">
        <v>515087</v>
      </c>
      <c r="C587" s="47" t="s">
        <v>557</v>
      </c>
      <c r="D587" s="48">
        <v>530</v>
      </c>
      <c r="E587" s="43" t="str">
        <f>IF(D587&lt;=0,"",VLOOKUP(D587,[1]FF!A:D,2,0))</f>
        <v>PARTICIPACIONES Ramo 28</v>
      </c>
      <c r="F587" s="37" t="s">
        <v>560</v>
      </c>
      <c r="G587" s="37" t="s">
        <v>461</v>
      </c>
      <c r="H587" s="49">
        <v>211001</v>
      </c>
      <c r="I587" s="44" t="str">
        <f>IF(H587&lt;=0,"",VLOOKUP(H587,[4]COG!A:H,2,0))</f>
        <v>Material de oficina</v>
      </c>
      <c r="J587" s="39">
        <v>0</v>
      </c>
      <c r="K587" s="39">
        <v>0</v>
      </c>
      <c r="L587" s="50"/>
      <c r="M587" s="50"/>
      <c r="N587" s="1">
        <f>Tabla5[[#This Row],[TRIMESTRE  I]]+Tabla5[[#This Row],[TRIMESTRE II]]+Tabla5[[#This Row],[TRIMESTRE III]]+Tabla5[[#This Row],[TRIMESTRE IV]]</f>
        <v>0</v>
      </c>
      <c r="O587" s="39"/>
      <c r="P587" s="39"/>
      <c r="Q587" s="59"/>
    </row>
    <row r="588" spans="2:17" ht="33.75" x14ac:dyDescent="0.2">
      <c r="B588" s="46">
        <v>515087</v>
      </c>
      <c r="C588" s="47" t="s">
        <v>557</v>
      </c>
      <c r="D588" s="48">
        <v>530</v>
      </c>
      <c r="E588" s="43" t="str">
        <f>IF(D588&lt;=0,"",VLOOKUP(D588,[1]FF!A:D,2,0))</f>
        <v>PARTICIPACIONES Ramo 28</v>
      </c>
      <c r="F588" s="37" t="s">
        <v>560</v>
      </c>
      <c r="G588" s="37" t="s">
        <v>461</v>
      </c>
      <c r="H588" s="49">
        <v>214001</v>
      </c>
      <c r="I588" s="44" t="str">
        <f>IF(H588&lt;=0,"",VLOOKUP(H588,[4]COG!A:H,2,0))</f>
        <v>Materiales, útiles y equipos menores de tecnologías de la información y comunicaciones</v>
      </c>
      <c r="J588" s="39">
        <v>0</v>
      </c>
      <c r="K588" s="39">
        <v>0</v>
      </c>
      <c r="L588" s="50"/>
      <c r="M588" s="50"/>
      <c r="N588" s="1">
        <f>Tabla5[[#This Row],[TRIMESTRE  I]]+Tabla5[[#This Row],[TRIMESTRE II]]+Tabla5[[#This Row],[TRIMESTRE III]]+Tabla5[[#This Row],[TRIMESTRE IV]]</f>
        <v>0</v>
      </c>
      <c r="O588" s="39"/>
      <c r="P588" s="39"/>
      <c r="Q588" s="59"/>
    </row>
    <row r="589" spans="2:17" ht="33.75" x14ac:dyDescent="0.2">
      <c r="B589" s="46">
        <v>515087</v>
      </c>
      <c r="C589" s="47" t="s">
        <v>557</v>
      </c>
      <c r="D589" s="48">
        <v>530</v>
      </c>
      <c r="E589" s="43" t="str">
        <f>IF(D589&lt;=0,"",VLOOKUP(D589,[1]FF!A:D,2,0))</f>
        <v>PARTICIPACIONES Ramo 28</v>
      </c>
      <c r="F589" s="37" t="s">
        <v>560</v>
      </c>
      <c r="G589" s="37" t="s">
        <v>461</v>
      </c>
      <c r="H589" s="49">
        <v>216001</v>
      </c>
      <c r="I589" s="44" t="str">
        <f>IF(H589&lt;=0,"",VLOOKUP(H589,[4]COG!A:H,2,0))</f>
        <v>Material de limpieza</v>
      </c>
      <c r="J589" s="39">
        <v>0</v>
      </c>
      <c r="K589" s="39">
        <v>0</v>
      </c>
      <c r="L589" s="50"/>
      <c r="M589" s="50"/>
      <c r="N589" s="1">
        <f>Tabla5[[#This Row],[TRIMESTRE  I]]+Tabla5[[#This Row],[TRIMESTRE II]]+Tabla5[[#This Row],[TRIMESTRE III]]+Tabla5[[#This Row],[TRIMESTRE IV]]</f>
        <v>0</v>
      </c>
      <c r="O589" s="39"/>
      <c r="P589" s="39"/>
      <c r="Q589" s="59"/>
    </row>
    <row r="590" spans="2:17" ht="33.75" x14ac:dyDescent="0.2">
      <c r="B590" s="46">
        <v>515087</v>
      </c>
      <c r="C590" s="47" t="s">
        <v>557</v>
      </c>
      <c r="D590" s="48">
        <v>530</v>
      </c>
      <c r="E590" s="43" t="str">
        <f>IF(D590&lt;=0,"",VLOOKUP(D590,[1]FF!A:D,2,0))</f>
        <v>PARTICIPACIONES Ramo 28</v>
      </c>
      <c r="F590" s="37" t="s">
        <v>560</v>
      </c>
      <c r="G590" s="37" t="s">
        <v>461</v>
      </c>
      <c r="H590" s="49">
        <v>221001</v>
      </c>
      <c r="I590" s="44" t="str">
        <f>IF(H590&lt;=0,"",VLOOKUP(H590,[4]COG!A:H,2,0))</f>
        <v>Alimentación de personas</v>
      </c>
      <c r="J590" s="39">
        <v>0</v>
      </c>
      <c r="K590" s="39">
        <v>0</v>
      </c>
      <c r="L590" s="50"/>
      <c r="M590" s="50"/>
      <c r="N590" s="1">
        <f>Tabla5[[#This Row],[TRIMESTRE  I]]+Tabla5[[#This Row],[TRIMESTRE II]]+Tabla5[[#This Row],[TRIMESTRE III]]+Tabla5[[#This Row],[TRIMESTRE IV]]</f>
        <v>0</v>
      </c>
      <c r="O590" s="39"/>
      <c r="P590" s="39"/>
      <c r="Q590" s="59"/>
    </row>
    <row r="591" spans="2:17" ht="33.75" x14ac:dyDescent="0.2">
      <c r="B591" s="46">
        <v>515087</v>
      </c>
      <c r="C591" s="47" t="s">
        <v>557</v>
      </c>
      <c r="D591" s="48">
        <v>530</v>
      </c>
      <c r="E591" s="43" t="str">
        <f>IF(D591&lt;=0,"",VLOOKUP(D591,[1]FF!A:D,2,0))</f>
        <v>PARTICIPACIONES Ramo 28</v>
      </c>
      <c r="F591" s="37" t="s">
        <v>560</v>
      </c>
      <c r="G591" s="37" t="s">
        <v>461</v>
      </c>
      <c r="H591" s="49">
        <v>249002</v>
      </c>
      <c r="I591" s="44" t="str">
        <f>IF(H591&lt;=0,"",VLOOKUP(H591,[4]COG!A:H,2,0))</f>
        <v>Otros materiales de construcción y reparación</v>
      </c>
      <c r="J591" s="39">
        <v>0</v>
      </c>
      <c r="K591" s="39">
        <v>0</v>
      </c>
      <c r="L591" s="50"/>
      <c r="M591" s="50"/>
      <c r="N591" s="1">
        <f>Tabla5[[#This Row],[TRIMESTRE  I]]+Tabla5[[#This Row],[TRIMESTRE II]]+Tabla5[[#This Row],[TRIMESTRE III]]+Tabla5[[#This Row],[TRIMESTRE IV]]</f>
        <v>0</v>
      </c>
      <c r="O591" s="39"/>
      <c r="P591" s="39"/>
      <c r="Q591" s="59"/>
    </row>
    <row r="592" spans="2:17" ht="33.75" x14ac:dyDescent="0.2">
      <c r="B592" s="46">
        <v>515088</v>
      </c>
      <c r="C592" s="47" t="s">
        <v>557</v>
      </c>
      <c r="D592" s="48">
        <v>530</v>
      </c>
      <c r="E592" s="43" t="str">
        <f>IF(D592&lt;=0,"",VLOOKUP(D592,[1]FF!A:D,2,0))</f>
        <v>PARTICIPACIONES Ramo 28</v>
      </c>
      <c r="F592" s="37" t="s">
        <v>561</v>
      </c>
      <c r="G592" s="37" t="s">
        <v>461</v>
      </c>
      <c r="H592" s="49">
        <v>211001</v>
      </c>
      <c r="I592" s="44" t="str">
        <f>IF(H592&lt;=0,"",VLOOKUP(H592,[4]COG!A:H,2,0))</f>
        <v>Material de oficina</v>
      </c>
      <c r="J592" s="39">
        <v>0</v>
      </c>
      <c r="K592" s="39">
        <v>0</v>
      </c>
      <c r="L592" s="50"/>
      <c r="M592" s="50"/>
      <c r="N592" s="1">
        <f>Tabla5[[#This Row],[TRIMESTRE  I]]+Tabla5[[#This Row],[TRIMESTRE II]]+Tabla5[[#This Row],[TRIMESTRE III]]+Tabla5[[#This Row],[TRIMESTRE IV]]</f>
        <v>0</v>
      </c>
      <c r="O592" s="39"/>
      <c r="P592" s="39"/>
      <c r="Q592" s="59"/>
    </row>
    <row r="593" spans="2:17" ht="33.75" x14ac:dyDescent="0.2">
      <c r="B593" s="46">
        <v>515088</v>
      </c>
      <c r="C593" s="47" t="s">
        <v>557</v>
      </c>
      <c r="D593" s="48">
        <v>530</v>
      </c>
      <c r="E593" s="43" t="str">
        <f>IF(D593&lt;=0,"",VLOOKUP(D593,[1]FF!A:D,2,0))</f>
        <v>PARTICIPACIONES Ramo 28</v>
      </c>
      <c r="F593" s="37" t="s">
        <v>561</v>
      </c>
      <c r="G593" s="37" t="s">
        <v>461</v>
      </c>
      <c r="H593" s="49">
        <v>216001</v>
      </c>
      <c r="I593" s="44" t="str">
        <f>IF(H593&lt;=0,"",VLOOKUP(H593,[4]COG!A:H,2,0))</f>
        <v>Material de limpieza</v>
      </c>
      <c r="J593" s="39">
        <v>0</v>
      </c>
      <c r="K593" s="39">
        <v>0</v>
      </c>
      <c r="L593" s="50"/>
      <c r="M593" s="50"/>
      <c r="N593" s="1">
        <f>Tabla5[[#This Row],[TRIMESTRE  I]]+Tabla5[[#This Row],[TRIMESTRE II]]+Tabla5[[#This Row],[TRIMESTRE III]]+Tabla5[[#This Row],[TRIMESTRE IV]]</f>
        <v>0</v>
      </c>
      <c r="O593" s="39"/>
      <c r="P593" s="39"/>
      <c r="Q593" s="59"/>
    </row>
    <row r="594" spans="2:17" ht="33.75" x14ac:dyDescent="0.2">
      <c r="B594" s="46">
        <v>515089</v>
      </c>
      <c r="C594" s="47" t="s">
        <v>557</v>
      </c>
      <c r="D594" s="48">
        <v>530</v>
      </c>
      <c r="E594" s="43" t="str">
        <f>IF(D594&lt;=0,"",VLOOKUP(D594,[1]FF!A:D,2,0))</f>
        <v>PARTICIPACIONES Ramo 28</v>
      </c>
      <c r="F594" s="37" t="s">
        <v>562</v>
      </c>
      <c r="G594" s="37" t="s">
        <v>461</v>
      </c>
      <c r="H594" s="49">
        <v>211001</v>
      </c>
      <c r="I594" s="44" t="str">
        <f>IF(H594&lt;=0,"",VLOOKUP(H594,[4]COG!A:H,2,0))</f>
        <v>Material de oficina</v>
      </c>
      <c r="J594" s="39">
        <v>0</v>
      </c>
      <c r="K594" s="39">
        <v>0</v>
      </c>
      <c r="L594" s="50"/>
      <c r="M594" s="50"/>
      <c r="N594" s="1">
        <f>Tabla5[[#This Row],[TRIMESTRE  I]]+Tabla5[[#This Row],[TRIMESTRE II]]+Tabla5[[#This Row],[TRIMESTRE III]]+Tabla5[[#This Row],[TRIMESTRE IV]]</f>
        <v>0</v>
      </c>
      <c r="O594" s="39"/>
      <c r="P594" s="39"/>
      <c r="Q594" s="59"/>
    </row>
    <row r="595" spans="2:17" ht="33.75" x14ac:dyDescent="0.2">
      <c r="B595" s="46">
        <v>515089</v>
      </c>
      <c r="C595" s="47" t="s">
        <v>557</v>
      </c>
      <c r="D595" s="48">
        <v>530</v>
      </c>
      <c r="E595" s="43" t="str">
        <f>IF(D595&lt;=0,"",VLOOKUP(D595,[1]FF!A:D,2,0))</f>
        <v>PARTICIPACIONES Ramo 28</v>
      </c>
      <c r="F595" s="37" t="s">
        <v>562</v>
      </c>
      <c r="G595" s="37" t="s">
        <v>461</v>
      </c>
      <c r="H595" s="49">
        <v>216001</v>
      </c>
      <c r="I595" s="44" t="str">
        <f>IF(H595&lt;=0,"",VLOOKUP(H595,[4]COG!A:H,2,0))</f>
        <v>Material de limpieza</v>
      </c>
      <c r="J595" s="39">
        <v>0</v>
      </c>
      <c r="K595" s="39">
        <v>0</v>
      </c>
      <c r="L595" s="50"/>
      <c r="M595" s="50"/>
      <c r="N595" s="1">
        <f>Tabla5[[#This Row],[TRIMESTRE  I]]+Tabla5[[#This Row],[TRIMESTRE II]]+Tabla5[[#This Row],[TRIMESTRE III]]+Tabla5[[#This Row],[TRIMESTRE IV]]</f>
        <v>0</v>
      </c>
      <c r="O595" s="39"/>
      <c r="P595" s="39"/>
      <c r="Q595" s="59"/>
    </row>
    <row r="596" spans="2:17" ht="33.75" x14ac:dyDescent="0.2">
      <c r="B596" s="46">
        <v>515089</v>
      </c>
      <c r="C596" s="47" t="s">
        <v>557</v>
      </c>
      <c r="D596" s="48">
        <v>530</v>
      </c>
      <c r="E596" s="43" t="str">
        <f>IF(D596&lt;=0,"",VLOOKUP(D596,[1]FF!A:D,2,0))</f>
        <v>PARTICIPACIONES Ramo 28</v>
      </c>
      <c r="F596" s="37" t="s">
        <v>562</v>
      </c>
      <c r="G596" s="37" t="s">
        <v>461</v>
      </c>
      <c r="H596" s="49">
        <v>221001</v>
      </c>
      <c r="I596" s="44" t="str">
        <f>IF(H596&lt;=0,"",VLOOKUP(H596,[4]COG!A:H,2,0))</f>
        <v>Alimentación de personas</v>
      </c>
      <c r="J596" s="39">
        <v>0</v>
      </c>
      <c r="K596" s="39">
        <v>0</v>
      </c>
      <c r="L596" s="50"/>
      <c r="M596" s="50"/>
      <c r="N596" s="1">
        <f>Tabla5[[#This Row],[TRIMESTRE  I]]+Tabla5[[#This Row],[TRIMESTRE II]]+Tabla5[[#This Row],[TRIMESTRE III]]+Tabla5[[#This Row],[TRIMESTRE IV]]</f>
        <v>0</v>
      </c>
      <c r="O596" s="39"/>
      <c r="P596" s="39"/>
      <c r="Q596" s="59"/>
    </row>
    <row r="597" spans="2:17" ht="33.75" x14ac:dyDescent="0.2">
      <c r="B597" s="46">
        <v>515089</v>
      </c>
      <c r="C597" s="47" t="s">
        <v>557</v>
      </c>
      <c r="D597" s="48">
        <v>530</v>
      </c>
      <c r="E597" s="43" t="str">
        <f>IF(D597&lt;=0,"",VLOOKUP(D597,[1]FF!A:D,2,0))</f>
        <v>PARTICIPACIONES Ramo 28</v>
      </c>
      <c r="F597" s="37" t="s">
        <v>562</v>
      </c>
      <c r="G597" s="37" t="s">
        <v>461</v>
      </c>
      <c r="H597" s="49">
        <v>214001</v>
      </c>
      <c r="I597" s="44" t="str">
        <f>IF(H597&lt;=0,"",VLOOKUP(H597,[4]COG!A:H,2,0))</f>
        <v>Materiales, útiles y equipos menores de tecnologías de la información y comunicaciones</v>
      </c>
      <c r="J597" s="39">
        <v>0</v>
      </c>
      <c r="K597" s="39">
        <v>0</v>
      </c>
      <c r="L597" s="50"/>
      <c r="M597" s="50"/>
      <c r="N597" s="1">
        <f>Tabla5[[#This Row],[TRIMESTRE  I]]+Tabla5[[#This Row],[TRIMESTRE II]]+Tabla5[[#This Row],[TRIMESTRE III]]+Tabla5[[#This Row],[TRIMESTRE IV]]</f>
        <v>0</v>
      </c>
      <c r="O597" s="39"/>
      <c r="P597" s="39"/>
      <c r="Q597" s="59"/>
    </row>
    <row r="598" spans="2:17" ht="33.75" x14ac:dyDescent="0.2">
      <c r="B598" s="46">
        <v>515090</v>
      </c>
      <c r="C598" s="47" t="s">
        <v>557</v>
      </c>
      <c r="D598" s="48">
        <v>530</v>
      </c>
      <c r="E598" s="43" t="str">
        <f>IF(D598&lt;=0,"",VLOOKUP(D598,[1]FF!A:D,2,0))</f>
        <v>PARTICIPACIONES Ramo 28</v>
      </c>
      <c r="F598" s="37" t="s">
        <v>563</v>
      </c>
      <c r="G598" s="37" t="s">
        <v>461</v>
      </c>
      <c r="H598" s="49">
        <v>211001</v>
      </c>
      <c r="I598" s="44" t="str">
        <f>IF(H598&lt;=0,"",VLOOKUP(H598,[4]COG!A:H,2,0))</f>
        <v>Material de oficina</v>
      </c>
      <c r="J598" s="39">
        <v>0</v>
      </c>
      <c r="K598" s="39">
        <v>0</v>
      </c>
      <c r="L598" s="50"/>
      <c r="M598" s="50"/>
      <c r="N598" s="1">
        <f>Tabla5[[#This Row],[TRIMESTRE  I]]+Tabla5[[#This Row],[TRIMESTRE II]]+Tabla5[[#This Row],[TRIMESTRE III]]+Tabla5[[#This Row],[TRIMESTRE IV]]</f>
        <v>0</v>
      </c>
      <c r="O598" s="39"/>
      <c r="P598" s="39"/>
      <c r="Q598" s="59"/>
    </row>
    <row r="599" spans="2:17" ht="33.75" x14ac:dyDescent="0.2">
      <c r="B599" s="46">
        <v>515090</v>
      </c>
      <c r="C599" s="47" t="s">
        <v>557</v>
      </c>
      <c r="D599" s="48">
        <v>530</v>
      </c>
      <c r="E599" s="43" t="str">
        <f>IF(D599&lt;=0,"",VLOOKUP(D599,[1]FF!A:D,2,0))</f>
        <v>PARTICIPACIONES Ramo 28</v>
      </c>
      <c r="F599" s="37" t="s">
        <v>563</v>
      </c>
      <c r="G599" s="37" t="s">
        <v>461</v>
      </c>
      <c r="H599" s="49">
        <v>216001</v>
      </c>
      <c r="I599" s="44" t="str">
        <f>IF(H599&lt;=0,"",VLOOKUP(H599,[4]COG!A:H,2,0))</f>
        <v>Material de limpieza</v>
      </c>
      <c r="J599" s="39">
        <v>0</v>
      </c>
      <c r="K599" s="39">
        <v>0</v>
      </c>
      <c r="L599" s="50"/>
      <c r="M599" s="50"/>
      <c r="N599" s="1">
        <f>Tabla5[[#This Row],[TRIMESTRE  I]]+Tabla5[[#This Row],[TRIMESTRE II]]+Tabla5[[#This Row],[TRIMESTRE III]]+Tabla5[[#This Row],[TRIMESTRE IV]]</f>
        <v>0</v>
      </c>
      <c r="O599" s="39"/>
      <c r="P599" s="39"/>
      <c r="Q599" s="59"/>
    </row>
    <row r="600" spans="2:17" ht="22.5" x14ac:dyDescent="0.2">
      <c r="B600" s="34">
        <v>501042</v>
      </c>
      <c r="C600" s="35" t="s">
        <v>523</v>
      </c>
      <c r="D600" s="36">
        <v>530</v>
      </c>
      <c r="E600" s="52" t="str">
        <f>IF(D600&lt;=0,"",VLOOKUP(D600,[1]FF!A:D,2,0))</f>
        <v>PARTICIPACIONES Ramo 28</v>
      </c>
      <c r="F600" s="37" t="s">
        <v>564</v>
      </c>
      <c r="G600" s="37" t="s">
        <v>458</v>
      </c>
      <c r="H600" s="38">
        <v>375001</v>
      </c>
      <c r="I600" s="41" t="str">
        <f>IF(H600&lt;=0,"",VLOOKUP(H600,[1]COG!A:H,2,0))</f>
        <v>Viáticos</v>
      </c>
      <c r="J600" s="39">
        <v>1327.84</v>
      </c>
      <c r="K600" s="39">
        <v>0</v>
      </c>
      <c r="L600" s="39"/>
      <c r="M600" s="39"/>
      <c r="N600" s="1">
        <f>Tabla5[[#This Row],[TRIMESTRE  I]]+Tabla5[[#This Row],[TRIMESTRE II]]+Tabla5[[#This Row],[TRIMESTRE III]]+Tabla5[[#This Row],[TRIMESTRE IV]]</f>
        <v>1327.84</v>
      </c>
      <c r="O600" s="81"/>
      <c r="P600" s="81"/>
      <c r="Q600" s="82"/>
    </row>
    <row r="601" spans="2:17" x14ac:dyDescent="0.2">
      <c r="B601" s="34">
        <v>501043</v>
      </c>
      <c r="C601" s="35" t="s">
        <v>523</v>
      </c>
      <c r="D601" s="36">
        <v>530</v>
      </c>
      <c r="E601" s="42" t="str">
        <f>IF(D601&lt;=0,"",VLOOKUP(D601,[1]FF!A:D,2,0))</f>
        <v>PARTICIPACIONES Ramo 28</v>
      </c>
      <c r="F601" s="37" t="s">
        <v>524</v>
      </c>
      <c r="G601" s="37" t="s">
        <v>458</v>
      </c>
      <c r="H601" s="38">
        <v>311001</v>
      </c>
      <c r="I601" s="41" t="str">
        <f>IF(H601&lt;=0,"",VLOOKUP(H601,[1]COG!A:H,2,0))</f>
        <v>Servicio de energía eléctrica</v>
      </c>
      <c r="J601" s="39">
        <v>30501</v>
      </c>
      <c r="K601" s="39">
        <v>10167</v>
      </c>
      <c r="L601" s="39"/>
      <c r="M601" s="39"/>
      <c r="N601" s="1">
        <f>Tabla5[[#This Row],[TRIMESTRE  I]]+Tabla5[[#This Row],[TRIMESTRE II]]+Tabla5[[#This Row],[TRIMESTRE III]]+Tabla5[[#This Row],[TRIMESTRE IV]]</f>
        <v>40668</v>
      </c>
      <c r="O601" s="39"/>
      <c r="P601" s="79"/>
      <c r="Q601" s="59"/>
    </row>
    <row r="602" spans="2:17" x14ac:dyDescent="0.2">
      <c r="B602" s="34">
        <v>501043</v>
      </c>
      <c r="C602" s="35" t="s">
        <v>523</v>
      </c>
      <c r="D602" s="36">
        <v>530</v>
      </c>
      <c r="E602" s="42" t="str">
        <f>IF(D602&lt;=0,"",VLOOKUP(D602,[1]FF!A:D,2,0))</f>
        <v>PARTICIPACIONES Ramo 28</v>
      </c>
      <c r="F602" s="37" t="s">
        <v>524</v>
      </c>
      <c r="G602" s="37" t="s">
        <v>458</v>
      </c>
      <c r="H602" s="38">
        <v>314001</v>
      </c>
      <c r="I602" s="41" t="str">
        <f>IF(H602&lt;=0,"",VLOOKUP(H602,[1]COG!A:H,2,0))</f>
        <v>Servicio telefónico</v>
      </c>
      <c r="J602" s="39">
        <v>606</v>
      </c>
      <c r="K602" s="39">
        <v>5027</v>
      </c>
      <c r="L602" s="39"/>
      <c r="M602" s="39"/>
      <c r="N602" s="1">
        <f>Tabla5[[#This Row],[TRIMESTRE  I]]+Tabla5[[#This Row],[TRIMESTRE II]]+Tabla5[[#This Row],[TRIMESTRE III]]+Tabla5[[#This Row],[TRIMESTRE IV]]</f>
        <v>5633</v>
      </c>
      <c r="O602" s="39"/>
      <c r="P602" s="79"/>
      <c r="Q602" s="59"/>
    </row>
    <row r="603" spans="2:17" x14ac:dyDescent="0.2">
      <c r="B603" s="34">
        <v>501043</v>
      </c>
      <c r="C603" s="35" t="s">
        <v>523</v>
      </c>
      <c r="D603" s="36">
        <v>530</v>
      </c>
      <c r="E603" s="42" t="str">
        <f>IF(D603&lt;=0,"",VLOOKUP(D603,[1]FF!A:D,2,0))</f>
        <v>PARTICIPACIONES Ramo 28</v>
      </c>
      <c r="F603" s="37" t="s">
        <v>524</v>
      </c>
      <c r="G603" s="37" t="s">
        <v>458</v>
      </c>
      <c r="H603" s="38">
        <v>323001</v>
      </c>
      <c r="I603" s="41" t="str">
        <f>IF(H603&lt;=0,"",VLOOKUP(H603,[1]COG!A:H,2,0))</f>
        <v>Arrendamiento de maquinaria y equipo</v>
      </c>
      <c r="J603" s="39">
        <v>1332</v>
      </c>
      <c r="K603" s="39">
        <v>1332</v>
      </c>
      <c r="L603" s="39"/>
      <c r="M603" s="39"/>
      <c r="N603" s="1">
        <f>Tabla5[[#This Row],[TRIMESTRE  I]]+Tabla5[[#This Row],[TRIMESTRE II]]+Tabla5[[#This Row],[TRIMESTRE III]]+Tabla5[[#This Row],[TRIMESTRE IV]]</f>
        <v>2664</v>
      </c>
      <c r="O603" s="39"/>
      <c r="P603" s="79"/>
      <c r="Q603" s="59"/>
    </row>
    <row r="604" spans="2:17" ht="27" x14ac:dyDescent="0.2">
      <c r="B604" s="34">
        <v>501043</v>
      </c>
      <c r="C604" s="35" t="s">
        <v>523</v>
      </c>
      <c r="D604" s="36">
        <v>530</v>
      </c>
      <c r="E604" s="42" t="str">
        <f>IF(D604&lt;=0,"",VLOOKUP(D604,[1]FF!A:D,2,0))</f>
        <v>PARTICIPACIONES Ramo 28</v>
      </c>
      <c r="F604" s="37" t="s">
        <v>524</v>
      </c>
      <c r="G604" s="37" t="s">
        <v>458</v>
      </c>
      <c r="H604" s="38">
        <v>355001</v>
      </c>
      <c r="I604" s="41" t="str">
        <f>IF(H604&lt;=0,"",VLOOKUP(H604,[1]COG!A:H,2,0))</f>
        <v>Mantto. y conservación de vehículos terrestres, aéreos, marítimos, lacustres y fluviales</v>
      </c>
      <c r="J604" s="39">
        <v>1155</v>
      </c>
      <c r="K604" s="39">
        <v>1029</v>
      </c>
      <c r="L604" s="39"/>
      <c r="M604" s="39"/>
      <c r="N604" s="1">
        <f>Tabla5[[#This Row],[TRIMESTRE  I]]+Tabla5[[#This Row],[TRIMESTRE II]]+Tabla5[[#This Row],[TRIMESTRE III]]+Tabla5[[#This Row],[TRIMESTRE IV]]</f>
        <v>2184</v>
      </c>
      <c r="O604" s="39"/>
      <c r="P604" s="79"/>
      <c r="Q604" s="59"/>
    </row>
    <row r="605" spans="2:17" x14ac:dyDescent="0.2">
      <c r="B605" s="34">
        <v>501043</v>
      </c>
      <c r="C605" s="35" t="s">
        <v>523</v>
      </c>
      <c r="D605" s="36">
        <v>530</v>
      </c>
      <c r="E605" s="42" t="str">
        <f>IF(D605&lt;=0,"",VLOOKUP(D605,[1]FF!A:D,2,0))</f>
        <v>PARTICIPACIONES Ramo 28</v>
      </c>
      <c r="F605" s="37" t="s">
        <v>524</v>
      </c>
      <c r="G605" s="37" t="s">
        <v>458</v>
      </c>
      <c r="H605" s="38">
        <v>361002</v>
      </c>
      <c r="I605" s="41" t="str">
        <f>IF(H605&lt;=0,"",VLOOKUP(H605,[1]COG!A:H,2,0))</f>
        <v>Impresiones y publicaciones oficiales</v>
      </c>
      <c r="J605" s="39">
        <v>981</v>
      </c>
      <c r="K605" s="39">
        <v>875</v>
      </c>
      <c r="L605" s="39"/>
      <c r="M605" s="39"/>
      <c r="N605" s="1">
        <f>Tabla5[[#This Row],[TRIMESTRE  I]]+Tabla5[[#This Row],[TRIMESTRE II]]+Tabla5[[#This Row],[TRIMESTRE III]]+Tabla5[[#This Row],[TRIMESTRE IV]]</f>
        <v>1856</v>
      </c>
      <c r="O605" s="39"/>
      <c r="P605" s="79"/>
      <c r="Q605" s="59"/>
    </row>
    <row r="606" spans="2:17" x14ac:dyDescent="0.2">
      <c r="B606" s="34">
        <v>501043</v>
      </c>
      <c r="C606" s="35" t="s">
        <v>523</v>
      </c>
      <c r="D606" s="36">
        <v>530</v>
      </c>
      <c r="E606" s="42" t="str">
        <f>IF(D606&lt;=0,"",VLOOKUP(D606,[1]FF!A:D,2,0))</f>
        <v>PARTICIPACIONES Ramo 28</v>
      </c>
      <c r="F606" s="37" t="s">
        <v>524</v>
      </c>
      <c r="G606" s="37" t="s">
        <v>458</v>
      </c>
      <c r="H606" s="38">
        <v>399001</v>
      </c>
      <c r="I606" s="41" t="str">
        <f>IF(H606&lt;=0,"",VLOOKUP(H606,[1]COG!A:H,2,0))</f>
        <v>Gastos menores</v>
      </c>
      <c r="J606" s="39">
        <v>527</v>
      </c>
      <c r="K606" s="39">
        <v>470</v>
      </c>
      <c r="L606" s="39"/>
      <c r="M606" s="39"/>
      <c r="N606" s="1">
        <f>Tabla5[[#This Row],[TRIMESTRE  I]]+Tabla5[[#This Row],[TRIMESTRE II]]+Tabla5[[#This Row],[TRIMESTRE III]]+Tabla5[[#This Row],[TRIMESTRE IV]]</f>
        <v>997</v>
      </c>
      <c r="O606" s="39"/>
      <c r="P606" s="79"/>
      <c r="Q606" s="59"/>
    </row>
    <row r="607" spans="2:17" ht="22.5" x14ac:dyDescent="0.2">
      <c r="B607" s="34">
        <v>501044</v>
      </c>
      <c r="C607" s="35" t="s">
        <v>523</v>
      </c>
      <c r="D607" s="36">
        <v>530</v>
      </c>
      <c r="E607" s="42" t="str">
        <f>IF(D607&lt;=0,"",VLOOKUP(D607,[1]FF!A:D,2,0))</f>
        <v>PARTICIPACIONES Ramo 28</v>
      </c>
      <c r="F607" s="37" t="s">
        <v>525</v>
      </c>
      <c r="G607" s="37" t="s">
        <v>458</v>
      </c>
      <c r="H607" s="38">
        <v>311001</v>
      </c>
      <c r="I607" s="41" t="str">
        <f>IF(H607&lt;=0,"",VLOOKUP(H607,[1]COG!A:H,2,0))</f>
        <v>Servicio de energía eléctrica</v>
      </c>
      <c r="J607" s="39">
        <v>99627</v>
      </c>
      <c r="K607" s="39">
        <v>236390</v>
      </c>
      <c r="L607" s="39"/>
      <c r="M607" s="39"/>
      <c r="N607" s="1">
        <f>Tabla5[[#This Row],[TRIMESTRE  I]]+Tabla5[[#This Row],[TRIMESTRE II]]+Tabla5[[#This Row],[TRIMESTRE III]]+Tabla5[[#This Row],[TRIMESTRE IV]]</f>
        <v>336017</v>
      </c>
      <c r="O607" s="39"/>
      <c r="P607" s="79"/>
      <c r="Q607" s="59"/>
    </row>
    <row r="608" spans="2:17" ht="22.5" x14ac:dyDescent="0.2">
      <c r="B608" s="34">
        <v>501044</v>
      </c>
      <c r="C608" s="35" t="s">
        <v>523</v>
      </c>
      <c r="D608" s="36">
        <v>530</v>
      </c>
      <c r="E608" s="42" t="str">
        <f>IF(D608&lt;=0,"",VLOOKUP(D608,[1]FF!A:D,2,0))</f>
        <v>PARTICIPACIONES Ramo 28</v>
      </c>
      <c r="F608" s="37" t="s">
        <v>525</v>
      </c>
      <c r="G608" s="37" t="s">
        <v>458</v>
      </c>
      <c r="H608" s="38">
        <v>314001</v>
      </c>
      <c r="I608" s="41" t="str">
        <f>IF(H608&lt;=0,"",VLOOKUP(H608,[1]COG!A:H,2,0))</f>
        <v>Servicio telefónico</v>
      </c>
      <c r="J608" s="39">
        <v>70125</v>
      </c>
      <c r="K608" s="39">
        <v>35806</v>
      </c>
      <c r="L608" s="39"/>
      <c r="M608" s="39"/>
      <c r="N608" s="1">
        <f>Tabla5[[#This Row],[TRIMESTRE  I]]+Tabla5[[#This Row],[TRIMESTRE II]]+Tabla5[[#This Row],[TRIMESTRE III]]+Tabla5[[#This Row],[TRIMESTRE IV]]</f>
        <v>105931</v>
      </c>
      <c r="O608" s="39"/>
      <c r="P608" s="79"/>
      <c r="Q608" s="59"/>
    </row>
    <row r="609" spans="2:17" ht="22.5" x14ac:dyDescent="0.2">
      <c r="B609" s="34">
        <v>501044</v>
      </c>
      <c r="C609" s="35" t="s">
        <v>523</v>
      </c>
      <c r="D609" s="36">
        <v>530</v>
      </c>
      <c r="E609" s="42" t="str">
        <f>IF(D609&lt;=0,"",VLOOKUP(D609,[1]FF!A:D,2,0))</f>
        <v>PARTICIPACIONES Ramo 28</v>
      </c>
      <c r="F609" s="37" t="s">
        <v>525</v>
      </c>
      <c r="G609" s="37" t="s">
        <v>458</v>
      </c>
      <c r="H609" s="38">
        <v>317001</v>
      </c>
      <c r="I609" s="41" t="str">
        <f>IF(H609&lt;=0,"",VLOOKUP(H609,[1]COG!A:H,2,0))</f>
        <v>Servicios de acceso de Internet, redes y procesamiento de información</v>
      </c>
      <c r="J609" s="39">
        <v>229326</v>
      </c>
      <c r="K609" s="39">
        <v>229326</v>
      </c>
      <c r="L609" s="39"/>
      <c r="M609" s="39"/>
      <c r="N609" s="1">
        <f>Tabla5[[#This Row],[TRIMESTRE  I]]+Tabla5[[#This Row],[TRIMESTRE II]]+Tabla5[[#This Row],[TRIMESTRE III]]+Tabla5[[#This Row],[TRIMESTRE IV]]</f>
        <v>458652</v>
      </c>
      <c r="O609" s="39"/>
      <c r="P609" s="79"/>
      <c r="Q609" s="59"/>
    </row>
    <row r="610" spans="2:17" ht="22.5" x14ac:dyDescent="0.2">
      <c r="B610" s="34">
        <v>501044</v>
      </c>
      <c r="C610" s="35" t="s">
        <v>523</v>
      </c>
      <c r="D610" s="36">
        <v>530</v>
      </c>
      <c r="E610" s="42" t="str">
        <f>IF(D610&lt;=0,"",VLOOKUP(D610,[1]FF!A:D,2,0))</f>
        <v>PARTICIPACIONES Ramo 28</v>
      </c>
      <c r="F610" s="37" t="s">
        <v>525</v>
      </c>
      <c r="G610" s="37" t="s">
        <v>458</v>
      </c>
      <c r="H610" s="38">
        <v>318001</v>
      </c>
      <c r="I610" s="41" t="str">
        <f>IF(H610&lt;=0,"",VLOOKUP(H610,[1]COG!A:H,2,0))</f>
        <v>Servicio postal y telegráfico</v>
      </c>
      <c r="J610" s="39">
        <v>607</v>
      </c>
      <c r="K610" s="39">
        <v>540</v>
      </c>
      <c r="L610" s="39"/>
      <c r="M610" s="39"/>
      <c r="N610" s="1">
        <f>Tabla5[[#This Row],[TRIMESTRE  I]]+Tabla5[[#This Row],[TRIMESTRE II]]+Tabla5[[#This Row],[TRIMESTRE III]]+Tabla5[[#This Row],[TRIMESTRE IV]]</f>
        <v>1147</v>
      </c>
      <c r="O610" s="39"/>
      <c r="P610" s="79"/>
      <c r="Q610" s="59"/>
    </row>
    <row r="611" spans="2:17" ht="22.5" x14ac:dyDescent="0.2">
      <c r="B611" s="34">
        <v>501044</v>
      </c>
      <c r="C611" s="35" t="s">
        <v>523</v>
      </c>
      <c r="D611" s="36">
        <v>530</v>
      </c>
      <c r="E611" s="42" t="str">
        <f>IF(D611&lt;=0,"",VLOOKUP(D611,[1]FF!A:D,2,0))</f>
        <v>PARTICIPACIONES Ramo 28</v>
      </c>
      <c r="F611" s="37" t="s">
        <v>525</v>
      </c>
      <c r="G611" s="37" t="s">
        <v>458</v>
      </c>
      <c r="H611" s="38">
        <v>323001</v>
      </c>
      <c r="I611" s="41" t="str">
        <f>IF(H611&lt;=0,"",VLOOKUP(H611,[1]COG!A:H,2,0))</f>
        <v>Arrendamiento de maquinaria y equipo</v>
      </c>
      <c r="J611" s="39">
        <v>245757</v>
      </c>
      <c r="K611" s="39">
        <v>245757</v>
      </c>
      <c r="L611" s="39"/>
      <c r="M611" s="39"/>
      <c r="N611" s="1">
        <f>Tabla5[[#This Row],[TRIMESTRE  I]]+Tabla5[[#This Row],[TRIMESTRE II]]+Tabla5[[#This Row],[TRIMESTRE III]]+Tabla5[[#This Row],[TRIMESTRE IV]]</f>
        <v>491514</v>
      </c>
      <c r="O611" s="39"/>
      <c r="P611" s="79"/>
      <c r="Q611" s="59"/>
    </row>
    <row r="612" spans="2:17" ht="22.5" x14ac:dyDescent="0.2">
      <c r="B612" s="46">
        <v>501044</v>
      </c>
      <c r="C612" s="47" t="s">
        <v>523</v>
      </c>
      <c r="D612" s="48">
        <v>530</v>
      </c>
      <c r="E612" s="43" t="str">
        <f>IF(D612&lt;=0,"",VLOOKUP(D612,[1]FF!A:D,2,0))</f>
        <v>PARTICIPACIONES Ramo 28</v>
      </c>
      <c r="F612" s="37" t="s">
        <v>525</v>
      </c>
      <c r="G612" s="37" t="s">
        <v>458</v>
      </c>
      <c r="H612" s="49">
        <v>325001</v>
      </c>
      <c r="I612" s="44" t="str">
        <f>IF(H612&lt;=0,"",VLOOKUP(H612,[1]COG!A:H,2,0))</f>
        <v>Arrendamiento de equipo de transporte</v>
      </c>
      <c r="J612" s="39">
        <v>517</v>
      </c>
      <c r="K612" s="39">
        <v>460</v>
      </c>
      <c r="L612" s="50"/>
      <c r="M612" s="50"/>
      <c r="N612" s="1">
        <f>Tabla5[[#This Row],[TRIMESTRE  I]]+Tabla5[[#This Row],[TRIMESTRE II]]+Tabla5[[#This Row],[TRIMESTRE III]]+Tabla5[[#This Row],[TRIMESTRE IV]]</f>
        <v>977</v>
      </c>
      <c r="O612" s="39"/>
      <c r="P612" s="39"/>
      <c r="Q612" s="59"/>
    </row>
    <row r="613" spans="2:17" ht="22.5" x14ac:dyDescent="0.2">
      <c r="B613" s="46">
        <v>501044</v>
      </c>
      <c r="C613" s="47" t="s">
        <v>523</v>
      </c>
      <c r="D613" s="48">
        <v>530</v>
      </c>
      <c r="E613" s="43" t="str">
        <f>IF(D613&lt;=0,"",VLOOKUP(D613,[1]FF!A:D,2,0))</f>
        <v>PARTICIPACIONES Ramo 28</v>
      </c>
      <c r="F613" s="37" t="s">
        <v>525</v>
      </c>
      <c r="G613" s="37" t="s">
        <v>458</v>
      </c>
      <c r="H613" s="49">
        <v>331001</v>
      </c>
      <c r="I613" s="44" t="str">
        <f>IF(H613&lt;=0,"",VLOOKUP(H613,[1]COG!A:H,2,0))</f>
        <v>Asesorías</v>
      </c>
      <c r="J613" s="39">
        <v>379983</v>
      </c>
      <c r="K613" s="39">
        <v>379983</v>
      </c>
      <c r="L613" s="50"/>
      <c r="M613" s="50"/>
      <c r="N613" s="1">
        <f>Tabla5[[#This Row],[TRIMESTRE  I]]+Tabla5[[#This Row],[TRIMESTRE II]]+Tabla5[[#This Row],[TRIMESTRE III]]+Tabla5[[#This Row],[TRIMESTRE IV]]</f>
        <v>759966</v>
      </c>
      <c r="O613" s="39"/>
      <c r="P613" s="39"/>
      <c r="Q613" s="59"/>
    </row>
    <row r="614" spans="2:17" ht="22.5" x14ac:dyDescent="0.2">
      <c r="B614" s="46">
        <v>501044</v>
      </c>
      <c r="C614" s="47" t="s">
        <v>523</v>
      </c>
      <c r="D614" s="48">
        <v>530</v>
      </c>
      <c r="E614" s="43" t="str">
        <f>IF(D614&lt;=0,"",VLOOKUP(D614,[1]FF!A:D,2,0))</f>
        <v>PARTICIPACIONES Ramo 28</v>
      </c>
      <c r="F614" s="37" t="s">
        <v>525</v>
      </c>
      <c r="G614" s="37" t="s">
        <v>458</v>
      </c>
      <c r="H614" s="49">
        <v>334001</v>
      </c>
      <c r="I614" s="44" t="str">
        <f>IF(H614&lt;=0,"",VLOOKUP(H614,[1]COG!A:H,2,0))</f>
        <v>Cuotas e inscripciones</v>
      </c>
      <c r="J614" s="39">
        <v>13987</v>
      </c>
      <c r="K614" s="39">
        <v>5318</v>
      </c>
      <c r="L614" s="50"/>
      <c r="M614" s="50"/>
      <c r="N614" s="1">
        <f>Tabla5[[#This Row],[TRIMESTRE  I]]+Tabla5[[#This Row],[TRIMESTRE II]]+Tabla5[[#This Row],[TRIMESTRE III]]+Tabla5[[#This Row],[TRIMESTRE IV]]</f>
        <v>19305</v>
      </c>
      <c r="O614" s="39"/>
      <c r="P614" s="39"/>
      <c r="Q614" s="59"/>
    </row>
    <row r="615" spans="2:17" ht="22.5" x14ac:dyDescent="0.2">
      <c r="B615" s="46">
        <v>501044</v>
      </c>
      <c r="C615" s="47" t="s">
        <v>523</v>
      </c>
      <c r="D615" s="48">
        <v>530</v>
      </c>
      <c r="E615" s="43" t="str">
        <f>IF(D615&lt;=0,"",VLOOKUP(D615,[1]FF!A:D,2,0))</f>
        <v>PARTICIPACIONES Ramo 28</v>
      </c>
      <c r="F615" s="37" t="s">
        <v>525</v>
      </c>
      <c r="G615" s="37" t="s">
        <v>458</v>
      </c>
      <c r="H615" s="49">
        <v>345001</v>
      </c>
      <c r="I615" s="44" t="str">
        <f>IF(H615&lt;=0,"",VLOOKUP(H615,[1]COG!A:H,2,0))</f>
        <v>Seguros</v>
      </c>
      <c r="J615" s="39">
        <v>914</v>
      </c>
      <c r="K615" s="39">
        <v>815</v>
      </c>
      <c r="L615" s="50"/>
      <c r="M615" s="50"/>
      <c r="N615" s="1">
        <f>Tabla5[[#This Row],[TRIMESTRE  I]]+Tabla5[[#This Row],[TRIMESTRE II]]+Tabla5[[#This Row],[TRIMESTRE III]]+Tabla5[[#This Row],[TRIMESTRE IV]]</f>
        <v>1729</v>
      </c>
      <c r="O615" s="39"/>
      <c r="P615" s="39"/>
      <c r="Q615" s="59"/>
    </row>
    <row r="616" spans="2:17" ht="22.5" x14ac:dyDescent="0.2">
      <c r="B616" s="46">
        <v>501044</v>
      </c>
      <c r="C616" s="47" t="s">
        <v>523</v>
      </c>
      <c r="D616" s="48">
        <v>530</v>
      </c>
      <c r="E616" s="43" t="str">
        <f>IF(D616&lt;=0,"",VLOOKUP(D616,[1]FF!A:D,2,0))</f>
        <v>PARTICIPACIONES Ramo 28</v>
      </c>
      <c r="F616" s="37" t="s">
        <v>525</v>
      </c>
      <c r="G616" s="37" t="s">
        <v>458</v>
      </c>
      <c r="H616" s="49">
        <v>347001</v>
      </c>
      <c r="I616" s="44" t="str">
        <f>IF(H616&lt;=0,"",VLOOKUP(H616,[1]COG!A:H,2,0))</f>
        <v>Fletes, maniobras y almacenaje</v>
      </c>
      <c r="J616" s="39">
        <v>3666</v>
      </c>
      <c r="K616" s="39">
        <v>3264</v>
      </c>
      <c r="L616" s="50"/>
      <c r="M616" s="50"/>
      <c r="N616" s="1">
        <f>Tabla5[[#This Row],[TRIMESTRE  I]]+Tabla5[[#This Row],[TRIMESTRE II]]+Tabla5[[#This Row],[TRIMESTRE III]]+Tabla5[[#This Row],[TRIMESTRE IV]]</f>
        <v>6930</v>
      </c>
      <c r="O616" s="39"/>
      <c r="P616" s="39"/>
      <c r="Q616" s="59"/>
    </row>
    <row r="617" spans="2:17" ht="22.5" x14ac:dyDescent="0.2">
      <c r="B617" s="46">
        <v>501044</v>
      </c>
      <c r="C617" s="47" t="s">
        <v>523</v>
      </c>
      <c r="D617" s="48">
        <v>530</v>
      </c>
      <c r="E617" s="43" t="str">
        <f>IF(D617&lt;=0,"",VLOOKUP(D617,[1]FF!A:D,2,0))</f>
        <v>PARTICIPACIONES Ramo 28</v>
      </c>
      <c r="F617" s="37" t="s">
        <v>525</v>
      </c>
      <c r="G617" s="37" t="s">
        <v>458</v>
      </c>
      <c r="H617" s="49">
        <v>351001</v>
      </c>
      <c r="I617" s="44" t="str">
        <f>IF(H617&lt;=0,"",VLOOKUP(H617,[1]COG!A:H,2,0))</f>
        <v>Mantenimiento de inmuebles</v>
      </c>
      <c r="J617" s="39">
        <v>2611</v>
      </c>
      <c r="K617" s="39">
        <v>2325</v>
      </c>
      <c r="L617" s="50"/>
      <c r="M617" s="50"/>
      <c r="N617" s="1">
        <f>Tabla5[[#This Row],[TRIMESTRE  I]]+Tabla5[[#This Row],[TRIMESTRE II]]+Tabla5[[#This Row],[TRIMESTRE III]]+Tabla5[[#This Row],[TRIMESTRE IV]]</f>
        <v>4936</v>
      </c>
      <c r="O617" s="39"/>
      <c r="P617" s="39"/>
      <c r="Q617" s="59"/>
    </row>
    <row r="618" spans="2:17" ht="22.5" x14ac:dyDescent="0.2">
      <c r="B618" s="46">
        <v>501044</v>
      </c>
      <c r="C618" s="47" t="s">
        <v>523</v>
      </c>
      <c r="D618" s="48">
        <v>530</v>
      </c>
      <c r="E618" s="43" t="str">
        <f>IF(D618&lt;=0,"",VLOOKUP(D618,[1]FF!A:D,2,0))</f>
        <v>PARTICIPACIONES Ramo 28</v>
      </c>
      <c r="F618" s="37" t="s">
        <v>525</v>
      </c>
      <c r="G618" s="37" t="s">
        <v>458</v>
      </c>
      <c r="H618" s="49">
        <v>352001</v>
      </c>
      <c r="I618" s="44" t="str">
        <f>IF(H618&lt;=0,"",VLOOKUP(H618,[1]COG!A:H,2,0))</f>
        <v>Mantenimiento de mobiliario y equipo</v>
      </c>
      <c r="J618" s="39">
        <v>40571</v>
      </c>
      <c r="K618" s="39">
        <v>50571</v>
      </c>
      <c r="L618" s="50"/>
      <c r="M618" s="50"/>
      <c r="N618" s="1">
        <f>Tabla5[[#This Row],[TRIMESTRE  I]]+Tabla5[[#This Row],[TRIMESTRE II]]+Tabla5[[#This Row],[TRIMESTRE III]]+Tabla5[[#This Row],[TRIMESTRE IV]]</f>
        <v>91142</v>
      </c>
      <c r="O618" s="39"/>
      <c r="P618" s="39"/>
      <c r="Q618" s="59"/>
    </row>
    <row r="619" spans="2:17" ht="27" x14ac:dyDescent="0.2">
      <c r="B619" s="46">
        <v>501044</v>
      </c>
      <c r="C619" s="47" t="s">
        <v>523</v>
      </c>
      <c r="D619" s="48">
        <v>530</v>
      </c>
      <c r="E619" s="43" t="str">
        <f>IF(D619&lt;=0,"",VLOOKUP(D619,[1]FF!A:D,2,0))</f>
        <v>PARTICIPACIONES Ramo 28</v>
      </c>
      <c r="F619" s="37" t="s">
        <v>525</v>
      </c>
      <c r="G619" s="37" t="s">
        <v>458</v>
      </c>
      <c r="H619" s="49">
        <v>355001</v>
      </c>
      <c r="I619" s="44" t="str">
        <f>IF(H619&lt;=0,"",VLOOKUP(H619,[1]COG!A:H,2,0))</f>
        <v>Mantto. y conservación de vehículos terrestres, aéreos, marítimos, lacustres y fluviales</v>
      </c>
      <c r="J619" s="39">
        <v>34457.78</v>
      </c>
      <c r="K619" s="39">
        <v>51324</v>
      </c>
      <c r="L619" s="50"/>
      <c r="M619" s="50"/>
      <c r="N619" s="1">
        <f>Tabla5[[#This Row],[TRIMESTRE  I]]+Tabla5[[#This Row],[TRIMESTRE II]]+Tabla5[[#This Row],[TRIMESTRE III]]+Tabla5[[#This Row],[TRIMESTRE IV]]</f>
        <v>85781.78</v>
      </c>
      <c r="O619" s="39"/>
      <c r="P619" s="39"/>
      <c r="Q619" s="59"/>
    </row>
    <row r="620" spans="2:17" ht="22.5" x14ac:dyDescent="0.2">
      <c r="B620" s="46">
        <v>501044</v>
      </c>
      <c r="C620" s="47" t="s">
        <v>523</v>
      </c>
      <c r="D620" s="48">
        <v>530</v>
      </c>
      <c r="E620" s="43" t="str">
        <f>IF(D620&lt;=0,"",VLOOKUP(D620,[1]FF!A:D,2,0))</f>
        <v>PARTICIPACIONES Ramo 28</v>
      </c>
      <c r="F620" s="37" t="s">
        <v>525</v>
      </c>
      <c r="G620" s="37" t="s">
        <v>458</v>
      </c>
      <c r="H620" s="49">
        <v>358001</v>
      </c>
      <c r="I620" s="44" t="str">
        <f>IF(H620&lt;=0,"",VLOOKUP(H620,[1]COG!A:H,2,0))</f>
        <v>Servicios de higiene y limpieza</v>
      </c>
      <c r="J620" s="39">
        <v>0</v>
      </c>
      <c r="K620" s="39">
        <v>4299</v>
      </c>
      <c r="L620" s="50"/>
      <c r="M620" s="50"/>
      <c r="N620" s="1">
        <f>Tabla5[[#This Row],[TRIMESTRE  I]]+Tabla5[[#This Row],[TRIMESTRE II]]+Tabla5[[#This Row],[TRIMESTRE III]]+Tabla5[[#This Row],[TRIMESTRE IV]]</f>
        <v>4299</v>
      </c>
      <c r="O620" s="39"/>
      <c r="P620" s="39"/>
      <c r="Q620" s="59"/>
    </row>
    <row r="621" spans="2:17" ht="22.5" x14ac:dyDescent="0.2">
      <c r="B621" s="46">
        <v>501044</v>
      </c>
      <c r="C621" s="47" t="s">
        <v>523</v>
      </c>
      <c r="D621" s="48">
        <v>530</v>
      </c>
      <c r="E621" s="43" t="str">
        <f>IF(D621&lt;=0,"",VLOOKUP(D621,[1]FF!A:D,2,0))</f>
        <v>PARTICIPACIONES Ramo 28</v>
      </c>
      <c r="F621" s="37" t="s">
        <v>525</v>
      </c>
      <c r="G621" s="37" t="s">
        <v>458</v>
      </c>
      <c r="H621" s="49">
        <v>358002</v>
      </c>
      <c r="I621" s="44" t="str">
        <f>IF(H621&lt;=0,"",VLOOKUP(H621,[1]COG!A:H,2,0))</f>
        <v>Servicios de Limpieza y Lavado de Vehículos</v>
      </c>
      <c r="J621" s="39">
        <v>4827</v>
      </c>
      <c r="K621" s="39">
        <v>0</v>
      </c>
      <c r="L621" s="50"/>
      <c r="M621" s="50"/>
      <c r="N621" s="1">
        <f>Tabla5[[#This Row],[TRIMESTRE  I]]+Tabla5[[#This Row],[TRIMESTRE II]]+Tabla5[[#This Row],[TRIMESTRE III]]+Tabla5[[#This Row],[TRIMESTRE IV]]</f>
        <v>4827</v>
      </c>
      <c r="O621" s="39"/>
      <c r="P621" s="39"/>
      <c r="Q621" s="59"/>
    </row>
    <row r="622" spans="2:17" ht="22.5" x14ac:dyDescent="0.2">
      <c r="B622" s="46">
        <v>501044</v>
      </c>
      <c r="C622" s="47" t="s">
        <v>523</v>
      </c>
      <c r="D622" s="48">
        <v>530</v>
      </c>
      <c r="E622" s="43" t="str">
        <f>IF(D622&lt;=0,"",VLOOKUP(D622,[1]FF!A:D,2,0))</f>
        <v>PARTICIPACIONES Ramo 28</v>
      </c>
      <c r="F622" s="37" t="s">
        <v>525</v>
      </c>
      <c r="G622" s="37" t="s">
        <v>458</v>
      </c>
      <c r="H622" s="49">
        <v>361001</v>
      </c>
      <c r="I622" s="44" t="str">
        <f>IF(H622&lt;=0,"",VLOOKUP(H622,[1]COG!A:H,2,0))</f>
        <v>Gastos de difusión</v>
      </c>
      <c r="J622" s="39">
        <v>8827</v>
      </c>
      <c r="K622" s="39">
        <v>7860</v>
      </c>
      <c r="L622" s="50"/>
      <c r="M622" s="50"/>
      <c r="N622" s="1">
        <f>Tabla5[[#This Row],[TRIMESTRE  I]]+Tabla5[[#This Row],[TRIMESTRE II]]+Tabla5[[#This Row],[TRIMESTRE III]]+Tabla5[[#This Row],[TRIMESTRE IV]]</f>
        <v>16687</v>
      </c>
      <c r="O622" s="39"/>
      <c r="P622" s="39"/>
      <c r="Q622" s="59"/>
    </row>
    <row r="623" spans="2:17" ht="22.5" x14ac:dyDescent="0.2">
      <c r="B623" s="46">
        <v>501044</v>
      </c>
      <c r="C623" s="47" t="s">
        <v>523</v>
      </c>
      <c r="D623" s="48">
        <v>530</v>
      </c>
      <c r="E623" s="43" t="str">
        <f>IF(D623&lt;=0,"",VLOOKUP(D623,[1]FF!A:D,2,0))</f>
        <v>PARTICIPACIONES Ramo 28</v>
      </c>
      <c r="F623" s="37" t="s">
        <v>525</v>
      </c>
      <c r="G623" s="37" t="s">
        <v>458</v>
      </c>
      <c r="H623" s="49">
        <v>361002</v>
      </c>
      <c r="I623" s="44" t="str">
        <f>IF(H623&lt;=0,"",VLOOKUP(H623,[1]COG!A:H,2,0))</f>
        <v>Impresiones y publicaciones oficiales</v>
      </c>
      <c r="J623" s="39">
        <v>4782</v>
      </c>
      <c r="K623" s="39">
        <v>4259</v>
      </c>
      <c r="L623" s="50"/>
      <c r="M623" s="50"/>
      <c r="N623" s="1">
        <f>Tabla5[[#This Row],[TRIMESTRE  I]]+Tabla5[[#This Row],[TRIMESTRE II]]+Tabla5[[#This Row],[TRIMESTRE III]]+Tabla5[[#This Row],[TRIMESTRE IV]]</f>
        <v>9041</v>
      </c>
      <c r="O623" s="39"/>
      <c r="P623" s="39"/>
      <c r="Q623" s="59"/>
    </row>
    <row r="624" spans="2:17" ht="22.5" x14ac:dyDescent="0.2">
      <c r="B624" s="46">
        <v>501044</v>
      </c>
      <c r="C624" s="47" t="s">
        <v>523</v>
      </c>
      <c r="D624" s="48">
        <v>530</v>
      </c>
      <c r="E624" s="43" t="str">
        <f>IF(D624&lt;=0,"",VLOOKUP(D624,[1]FF!A:D,2,0))</f>
        <v>PARTICIPACIONES Ramo 28</v>
      </c>
      <c r="F624" s="37" t="s">
        <v>525</v>
      </c>
      <c r="G624" s="37" t="s">
        <v>458</v>
      </c>
      <c r="H624" s="49">
        <v>361003</v>
      </c>
      <c r="I624" s="44" t="str">
        <f>IF(H624&lt;=0,"",VLOOKUP(H624,[1]COG!A:H,2,0))</f>
        <v>Rotulaciones oficiales</v>
      </c>
      <c r="J624" s="39">
        <v>18160</v>
      </c>
      <c r="K624" s="39">
        <v>16172</v>
      </c>
      <c r="L624" s="50"/>
      <c r="M624" s="50"/>
      <c r="N624" s="1">
        <f>Tabla5[[#This Row],[TRIMESTRE  I]]+Tabla5[[#This Row],[TRIMESTRE II]]+Tabla5[[#This Row],[TRIMESTRE III]]+Tabla5[[#This Row],[TRIMESTRE IV]]</f>
        <v>34332</v>
      </c>
      <c r="O624" s="39"/>
      <c r="P624" s="39"/>
      <c r="Q624" s="59"/>
    </row>
    <row r="625" spans="2:17" ht="22.5" x14ac:dyDescent="0.2">
      <c r="B625" s="46">
        <v>501044</v>
      </c>
      <c r="C625" s="47" t="s">
        <v>523</v>
      </c>
      <c r="D625" s="48">
        <v>530</v>
      </c>
      <c r="E625" s="43" t="str">
        <f>IF(D625&lt;=0,"",VLOOKUP(D625,[1]FF!A:D,2,0))</f>
        <v>PARTICIPACIONES Ramo 28</v>
      </c>
      <c r="F625" s="37" t="s">
        <v>525</v>
      </c>
      <c r="G625" s="37" t="s">
        <v>458</v>
      </c>
      <c r="H625" s="49">
        <v>371001</v>
      </c>
      <c r="I625" s="44" t="str">
        <f>IF(H625&lt;=0,"",VLOOKUP(H625,[1]COG!A:H,2,0))</f>
        <v>Pasajes aéreos</v>
      </c>
      <c r="J625" s="39">
        <v>125694.74</v>
      </c>
      <c r="K625" s="39">
        <v>63054</v>
      </c>
      <c r="L625" s="50"/>
      <c r="M625" s="50"/>
      <c r="N625" s="1">
        <f>Tabla5[[#This Row],[TRIMESTRE  I]]+Tabla5[[#This Row],[TRIMESTRE II]]+Tabla5[[#This Row],[TRIMESTRE III]]+Tabla5[[#This Row],[TRIMESTRE IV]]</f>
        <v>188748.74</v>
      </c>
      <c r="O625" s="39"/>
      <c r="P625" s="39"/>
      <c r="Q625" s="59"/>
    </row>
    <row r="626" spans="2:17" ht="22.5" x14ac:dyDescent="0.2">
      <c r="B626" s="46">
        <v>501044</v>
      </c>
      <c r="C626" s="47" t="s">
        <v>523</v>
      </c>
      <c r="D626" s="48">
        <v>530</v>
      </c>
      <c r="E626" s="43" t="str">
        <f>IF(D626&lt;=0,"",VLOOKUP(D626,[1]FF!A:D,2,0))</f>
        <v>PARTICIPACIONES Ramo 28</v>
      </c>
      <c r="F626" s="37" t="s">
        <v>525</v>
      </c>
      <c r="G626" s="37" t="s">
        <v>458</v>
      </c>
      <c r="H626" s="49">
        <v>375001</v>
      </c>
      <c r="I626" s="44" t="str">
        <f>IF(H626&lt;=0,"",VLOOKUP(H626,[1]COG!A:H,2,0))</f>
        <v>Viáticos</v>
      </c>
      <c r="J626" s="39">
        <v>52821.08</v>
      </c>
      <c r="K626" s="39">
        <v>65496</v>
      </c>
      <c r="L626" s="50"/>
      <c r="M626" s="50"/>
      <c r="N626" s="1">
        <f>Tabla5[[#This Row],[TRIMESTRE  I]]+Tabla5[[#This Row],[TRIMESTRE II]]+Tabla5[[#This Row],[TRIMESTRE III]]+Tabla5[[#This Row],[TRIMESTRE IV]]</f>
        <v>118317.08</v>
      </c>
      <c r="O626" s="39"/>
      <c r="P626" s="39"/>
      <c r="Q626" s="59"/>
    </row>
    <row r="627" spans="2:17" ht="22.5" x14ac:dyDescent="0.2">
      <c r="B627" s="46">
        <v>501044</v>
      </c>
      <c r="C627" s="47" t="s">
        <v>523</v>
      </c>
      <c r="D627" s="48">
        <v>530</v>
      </c>
      <c r="E627" s="43" t="str">
        <f>IF(D627&lt;=0,"",VLOOKUP(D627,[1]FF!A:D,2,0))</f>
        <v>PARTICIPACIONES Ramo 28</v>
      </c>
      <c r="F627" s="37" t="s">
        <v>525</v>
      </c>
      <c r="G627" s="37" t="s">
        <v>458</v>
      </c>
      <c r="H627" s="49">
        <v>382002</v>
      </c>
      <c r="I627" s="44" t="str">
        <f>IF(H627&lt;=0,"",VLOOKUP(H627,[1]COG!A:H,2,0))</f>
        <v>Gastos de recepción, conmemorativos y de orden social</v>
      </c>
      <c r="J627" s="39">
        <v>23326</v>
      </c>
      <c r="K627" s="39">
        <v>20771</v>
      </c>
      <c r="L627" s="50"/>
      <c r="M627" s="50"/>
      <c r="N627" s="1">
        <f>Tabla5[[#This Row],[TRIMESTRE  I]]+Tabla5[[#This Row],[TRIMESTRE II]]+Tabla5[[#This Row],[TRIMESTRE III]]+Tabla5[[#This Row],[TRIMESTRE IV]]</f>
        <v>44097</v>
      </c>
      <c r="O627" s="39"/>
      <c r="P627" s="39"/>
      <c r="Q627" s="59"/>
    </row>
    <row r="628" spans="2:17" ht="22.5" x14ac:dyDescent="0.2">
      <c r="B628" s="46">
        <v>501044</v>
      </c>
      <c r="C628" s="47" t="s">
        <v>523</v>
      </c>
      <c r="D628" s="48">
        <v>530</v>
      </c>
      <c r="E628" s="43" t="str">
        <f>IF(D628&lt;=0,"",VLOOKUP(D628,[1]FF!A:D,2,0))</f>
        <v>PARTICIPACIONES Ramo 28</v>
      </c>
      <c r="F628" s="37" t="s">
        <v>525</v>
      </c>
      <c r="G628" s="37" t="s">
        <v>458</v>
      </c>
      <c r="H628" s="49">
        <v>392001</v>
      </c>
      <c r="I628" s="44" t="str">
        <f>IF(H628&lt;=0,"",VLOOKUP(H628,[1]COG!A:H,2,0))</f>
        <v>Impuestos y derechos</v>
      </c>
      <c r="J628" s="39">
        <v>2346</v>
      </c>
      <c r="K628" s="39">
        <v>2088</v>
      </c>
      <c r="L628" s="50"/>
      <c r="M628" s="50"/>
      <c r="N628" s="1">
        <f>Tabla5[[#This Row],[TRIMESTRE  I]]+Tabla5[[#This Row],[TRIMESTRE II]]+Tabla5[[#This Row],[TRIMESTRE III]]+Tabla5[[#This Row],[TRIMESTRE IV]]</f>
        <v>4434</v>
      </c>
      <c r="O628" s="39"/>
      <c r="P628" s="39"/>
      <c r="Q628" s="59"/>
    </row>
    <row r="629" spans="2:17" ht="22.5" x14ac:dyDescent="0.2">
      <c r="B629" s="46">
        <v>501044</v>
      </c>
      <c r="C629" s="47" t="s">
        <v>523</v>
      </c>
      <c r="D629" s="48">
        <v>530</v>
      </c>
      <c r="E629" s="43" t="str">
        <f>IF(D629&lt;=0,"",VLOOKUP(D629,[1]FF!A:D,2,0))</f>
        <v>PARTICIPACIONES Ramo 28</v>
      </c>
      <c r="F629" s="37" t="s">
        <v>525</v>
      </c>
      <c r="G629" s="37" t="s">
        <v>458</v>
      </c>
      <c r="H629" s="49">
        <v>399001</v>
      </c>
      <c r="I629" s="44" t="str">
        <f>IF(H629&lt;=0,"",VLOOKUP(H629,[1]COG!A:H,2,0))</f>
        <v>Gastos menores</v>
      </c>
      <c r="J629" s="39">
        <v>3044</v>
      </c>
      <c r="K629" s="39">
        <v>2712</v>
      </c>
      <c r="L629" s="50"/>
      <c r="M629" s="50"/>
      <c r="N629" s="1">
        <f>Tabla5[[#This Row],[TRIMESTRE  I]]+Tabla5[[#This Row],[TRIMESTRE II]]+Tabla5[[#This Row],[TRIMESTRE III]]+Tabla5[[#This Row],[TRIMESTRE IV]]</f>
        <v>5756</v>
      </c>
      <c r="O629" s="39"/>
      <c r="P629" s="39"/>
      <c r="Q629" s="59"/>
    </row>
    <row r="630" spans="2:17" ht="22.5" x14ac:dyDescent="0.2">
      <c r="B630" s="46">
        <v>502046</v>
      </c>
      <c r="C630" s="47" t="s">
        <v>523</v>
      </c>
      <c r="D630" s="48">
        <v>530</v>
      </c>
      <c r="E630" s="43" t="str">
        <f>IF(D630&lt;=0,"",VLOOKUP(D630,[1]FF!A:D,2,0))</f>
        <v>PARTICIPACIONES Ramo 28</v>
      </c>
      <c r="F630" s="37" t="s">
        <v>527</v>
      </c>
      <c r="G630" s="37" t="s">
        <v>458</v>
      </c>
      <c r="H630" s="49">
        <v>314001</v>
      </c>
      <c r="I630" s="44" t="str">
        <f>IF(H630&lt;=0,"",VLOOKUP(H630,[1]COG!A:H,2,0))</f>
        <v>Servicio telefónico</v>
      </c>
      <c r="J630" s="39">
        <v>23454</v>
      </c>
      <c r="K630" s="39">
        <v>15350</v>
      </c>
      <c r="L630" s="50"/>
      <c r="M630" s="50"/>
      <c r="N630" s="1">
        <f>Tabla5[[#This Row],[TRIMESTRE  I]]+Tabla5[[#This Row],[TRIMESTRE II]]+Tabla5[[#This Row],[TRIMESTRE III]]+Tabla5[[#This Row],[TRIMESTRE IV]]</f>
        <v>38804</v>
      </c>
      <c r="O630" s="39"/>
      <c r="P630" s="39"/>
      <c r="Q630" s="59"/>
    </row>
    <row r="631" spans="2:17" ht="22.5" x14ac:dyDescent="0.2">
      <c r="B631" s="46">
        <v>502046</v>
      </c>
      <c r="C631" s="47" t="s">
        <v>565</v>
      </c>
      <c r="D631" s="48">
        <v>530</v>
      </c>
      <c r="E631" s="43" t="str">
        <f>IF(D631&lt;=0,"",VLOOKUP(D631,[1]FF!A:D,2,0))</f>
        <v>PARTICIPACIONES Ramo 28</v>
      </c>
      <c r="F631" s="37" t="s">
        <v>527</v>
      </c>
      <c r="G631" s="37" t="s">
        <v>458</v>
      </c>
      <c r="H631" s="49">
        <v>317001</v>
      </c>
      <c r="I631" s="44" t="str">
        <f>IF(H631&lt;=0,"",VLOOKUP(H631,[1]COG!A:H,2,0))</f>
        <v>Servicios de acceso de Internet, redes y procesamiento de información</v>
      </c>
      <c r="J631" s="50">
        <v>499998</v>
      </c>
      <c r="K631" s="50">
        <v>499998</v>
      </c>
      <c r="L631" s="50"/>
      <c r="M631" s="50"/>
      <c r="N631" s="1">
        <f>Tabla5[[#This Row],[TRIMESTRE  I]]+Tabla5[[#This Row],[TRIMESTRE II]]+Tabla5[[#This Row],[TRIMESTRE III]]+Tabla5[[#This Row],[TRIMESTRE IV]]</f>
        <v>999996</v>
      </c>
      <c r="O631" s="39"/>
      <c r="P631" s="39"/>
      <c r="Q631" s="59"/>
    </row>
    <row r="632" spans="2:17" ht="22.5" x14ac:dyDescent="0.2">
      <c r="B632" s="46">
        <v>502046</v>
      </c>
      <c r="C632" s="47" t="s">
        <v>523</v>
      </c>
      <c r="D632" s="48">
        <v>530</v>
      </c>
      <c r="E632" s="43" t="str">
        <f>IF(D632&lt;=0,"",VLOOKUP(D632,[1]FF!A:D,2,0))</f>
        <v>PARTICIPACIONES Ramo 28</v>
      </c>
      <c r="F632" s="37" t="s">
        <v>527</v>
      </c>
      <c r="G632" s="37" t="s">
        <v>458</v>
      </c>
      <c r="H632" s="49">
        <v>331001</v>
      </c>
      <c r="I632" s="44" t="str">
        <f>IF(H632&lt;=0,"",VLOOKUP(H632,[1]COG!A:H,2,0))</f>
        <v>Asesorías</v>
      </c>
      <c r="J632" s="39">
        <v>39369</v>
      </c>
      <c r="K632" s="39">
        <v>39369</v>
      </c>
      <c r="L632" s="50"/>
      <c r="M632" s="50"/>
      <c r="N632" s="1">
        <f>Tabla5[[#This Row],[TRIMESTRE  I]]+Tabla5[[#This Row],[TRIMESTRE II]]+Tabla5[[#This Row],[TRIMESTRE III]]+Tabla5[[#This Row],[TRIMESTRE IV]]</f>
        <v>78738</v>
      </c>
      <c r="O632" s="39"/>
      <c r="P632" s="39"/>
      <c r="Q632" s="59"/>
    </row>
    <row r="633" spans="2:17" ht="22.5" x14ac:dyDescent="0.2">
      <c r="B633" s="46">
        <v>502046</v>
      </c>
      <c r="C633" s="47" t="s">
        <v>523</v>
      </c>
      <c r="D633" s="48">
        <v>530</v>
      </c>
      <c r="E633" s="43" t="str">
        <f>IF(D633&lt;=0,"",VLOOKUP(D633,[1]FF!A:D,2,0))</f>
        <v>PARTICIPACIONES Ramo 28</v>
      </c>
      <c r="F633" s="37" t="s">
        <v>527</v>
      </c>
      <c r="G633" s="37" t="s">
        <v>458</v>
      </c>
      <c r="H633" s="49">
        <v>334001</v>
      </c>
      <c r="I633" s="44" t="str">
        <f>IF(H633&lt;=0,"",VLOOKUP(H633,[1]COG!A:H,2,0))</f>
        <v>Cuotas e inscripciones</v>
      </c>
      <c r="J633" s="39">
        <v>1549</v>
      </c>
      <c r="K633" s="39">
        <v>1380</v>
      </c>
      <c r="L633" s="50"/>
      <c r="M633" s="50"/>
      <c r="N633" s="1">
        <f>Tabla5[[#This Row],[TRIMESTRE  I]]+Tabla5[[#This Row],[TRIMESTRE II]]+Tabla5[[#This Row],[TRIMESTRE III]]+Tabla5[[#This Row],[TRIMESTRE IV]]</f>
        <v>2929</v>
      </c>
      <c r="O633" s="39"/>
      <c r="P633" s="39"/>
      <c r="Q633" s="59"/>
    </row>
    <row r="634" spans="2:17" ht="22.5" x14ac:dyDescent="0.2">
      <c r="B634" s="46">
        <v>502046</v>
      </c>
      <c r="C634" s="47" t="s">
        <v>523</v>
      </c>
      <c r="D634" s="48">
        <v>530</v>
      </c>
      <c r="E634" s="43" t="str">
        <f>IF(D634&lt;=0,"",VLOOKUP(D634,[1]FF!A:D,2,0))</f>
        <v>PARTICIPACIONES Ramo 28</v>
      </c>
      <c r="F634" s="37" t="s">
        <v>527</v>
      </c>
      <c r="G634" s="37" t="s">
        <v>458</v>
      </c>
      <c r="H634" s="49">
        <v>347001</v>
      </c>
      <c r="I634" s="44" t="str">
        <f>IF(H634&lt;=0,"",VLOOKUP(H634,[1]COG!A:H,2,0))</f>
        <v>Fletes, maniobras y almacenaje</v>
      </c>
      <c r="J634" s="39">
        <v>819</v>
      </c>
      <c r="K634" s="39">
        <v>729</v>
      </c>
      <c r="L634" s="50"/>
      <c r="M634" s="50"/>
      <c r="N634" s="1">
        <f>Tabla5[[#This Row],[TRIMESTRE  I]]+Tabla5[[#This Row],[TRIMESTRE II]]+Tabla5[[#This Row],[TRIMESTRE III]]+Tabla5[[#This Row],[TRIMESTRE IV]]</f>
        <v>1548</v>
      </c>
      <c r="O634" s="39"/>
      <c r="P634" s="39"/>
      <c r="Q634" s="59"/>
    </row>
    <row r="635" spans="2:17" ht="22.5" x14ac:dyDescent="0.2">
      <c r="B635" s="46">
        <v>502046</v>
      </c>
      <c r="C635" s="47" t="s">
        <v>523</v>
      </c>
      <c r="D635" s="48">
        <v>530</v>
      </c>
      <c r="E635" s="43" t="str">
        <f>IF(D635&lt;=0,"",VLOOKUP(D635,[1]FF!A:D,2,0))</f>
        <v>PARTICIPACIONES Ramo 28</v>
      </c>
      <c r="F635" s="37" t="s">
        <v>527</v>
      </c>
      <c r="G635" s="37" t="s">
        <v>458</v>
      </c>
      <c r="H635" s="49">
        <v>351001</v>
      </c>
      <c r="I635" s="44" t="str">
        <f>IF(H635&lt;=0,"",VLOOKUP(H635,[1]COG!A:H,2,0))</f>
        <v>Mantenimiento de inmuebles</v>
      </c>
      <c r="J635" s="39">
        <v>758418</v>
      </c>
      <c r="K635" s="39">
        <v>766403</v>
      </c>
      <c r="L635" s="50"/>
      <c r="M635" s="50"/>
      <c r="N635" s="1">
        <f>Tabla5[[#This Row],[TRIMESTRE  I]]+Tabla5[[#This Row],[TRIMESTRE II]]+Tabla5[[#This Row],[TRIMESTRE III]]+Tabla5[[#This Row],[TRIMESTRE IV]]</f>
        <v>1524821</v>
      </c>
      <c r="O635" s="39"/>
      <c r="P635" s="39"/>
      <c r="Q635" s="59"/>
    </row>
    <row r="636" spans="2:17" ht="22.5" x14ac:dyDescent="0.2">
      <c r="B636" s="46">
        <v>502046</v>
      </c>
      <c r="C636" s="47" t="s">
        <v>523</v>
      </c>
      <c r="D636" s="48">
        <v>530</v>
      </c>
      <c r="E636" s="43" t="str">
        <f>IF(D636&lt;=0,"",VLOOKUP(D636,[1]FF!A:D,2,0))</f>
        <v>PARTICIPACIONES Ramo 28</v>
      </c>
      <c r="F636" s="37" t="s">
        <v>527</v>
      </c>
      <c r="G636" s="37" t="s">
        <v>458</v>
      </c>
      <c r="H636" s="49">
        <v>351002</v>
      </c>
      <c r="I636" s="44" t="str">
        <f>IF(H636&lt;=0,"",VLOOKUP(H636,[1]COG!A:H,2,0))</f>
        <v>Fumigación de Inmuebles</v>
      </c>
      <c r="J636" s="39">
        <v>499998</v>
      </c>
      <c r="K636" s="39">
        <v>499998</v>
      </c>
      <c r="L636" s="50"/>
      <c r="M636" s="50"/>
      <c r="N636" s="1">
        <f>Tabla5[[#This Row],[TRIMESTRE  I]]+Tabla5[[#This Row],[TRIMESTRE II]]+Tabla5[[#This Row],[TRIMESTRE III]]+Tabla5[[#This Row],[TRIMESTRE IV]]</f>
        <v>999996</v>
      </c>
      <c r="O636" s="39"/>
      <c r="P636" s="39"/>
      <c r="Q636" s="59"/>
    </row>
    <row r="637" spans="2:17" ht="22.5" x14ac:dyDescent="0.2">
      <c r="B637" s="46">
        <v>502046</v>
      </c>
      <c r="C637" s="47" t="s">
        <v>523</v>
      </c>
      <c r="D637" s="48">
        <v>530</v>
      </c>
      <c r="E637" s="43" t="str">
        <f>IF(D637&lt;=0,"",VLOOKUP(D637,[1]FF!A:D,2,0))</f>
        <v>PARTICIPACIONES Ramo 28</v>
      </c>
      <c r="F637" s="37" t="s">
        <v>527</v>
      </c>
      <c r="G637" s="37" t="s">
        <v>458</v>
      </c>
      <c r="H637" s="49">
        <v>352001</v>
      </c>
      <c r="I637" s="44" t="str">
        <f>IF(H637&lt;=0,"",VLOOKUP(H637,[1]COG!A:H,2,0))</f>
        <v>Mantenimiento de mobiliario y equipo</v>
      </c>
      <c r="J637" s="39">
        <v>245406</v>
      </c>
      <c r="K637" s="39">
        <v>245406</v>
      </c>
      <c r="L637" s="50"/>
      <c r="M637" s="50"/>
      <c r="N637" s="1">
        <f>Tabla5[[#This Row],[TRIMESTRE  I]]+Tabla5[[#This Row],[TRIMESTRE II]]+Tabla5[[#This Row],[TRIMESTRE III]]+Tabla5[[#This Row],[TRIMESTRE IV]]</f>
        <v>490812</v>
      </c>
      <c r="O637" s="39"/>
      <c r="P637" s="39"/>
      <c r="Q637" s="59"/>
    </row>
    <row r="638" spans="2:17" ht="27" x14ac:dyDescent="0.2">
      <c r="B638" s="46">
        <v>502046</v>
      </c>
      <c r="C638" s="47" t="s">
        <v>523</v>
      </c>
      <c r="D638" s="48">
        <v>530</v>
      </c>
      <c r="E638" s="43" t="str">
        <f>IF(D638&lt;=0,"",VLOOKUP(D638,[1]FF!A:D,2,0))</f>
        <v>PARTICIPACIONES Ramo 28</v>
      </c>
      <c r="F638" s="37" t="s">
        <v>527</v>
      </c>
      <c r="G638" s="37" t="s">
        <v>458</v>
      </c>
      <c r="H638" s="49">
        <v>355001</v>
      </c>
      <c r="I638" s="44" t="str">
        <f>IF(H638&lt;=0,"",VLOOKUP(H638,[1]COG!A:H,2,0))</f>
        <v>Mantto. y conservación de vehículos terrestres, aéreos, marítimos, lacustres y fluviales</v>
      </c>
      <c r="J638" s="39">
        <v>69513</v>
      </c>
      <c r="K638" s="39">
        <v>69513</v>
      </c>
      <c r="L638" s="50"/>
      <c r="M638" s="50"/>
      <c r="N638" s="1">
        <f>Tabla5[[#This Row],[TRIMESTRE  I]]+Tabla5[[#This Row],[TRIMESTRE II]]+Tabla5[[#This Row],[TRIMESTRE III]]+Tabla5[[#This Row],[TRIMESTRE IV]]</f>
        <v>139026</v>
      </c>
      <c r="O638" s="39"/>
      <c r="P638" s="39"/>
      <c r="Q638" s="59"/>
    </row>
    <row r="639" spans="2:17" ht="22.5" x14ac:dyDescent="0.2">
      <c r="B639" s="46">
        <v>502046</v>
      </c>
      <c r="C639" s="47" t="s">
        <v>523</v>
      </c>
      <c r="D639" s="48">
        <v>530</v>
      </c>
      <c r="E639" s="43" t="str">
        <f>IF(D639&lt;=0,"",VLOOKUP(D639,[1]FF!A:D,2,0))</f>
        <v>PARTICIPACIONES Ramo 28</v>
      </c>
      <c r="F639" s="37" t="s">
        <v>527</v>
      </c>
      <c r="G639" s="37" t="s">
        <v>458</v>
      </c>
      <c r="H639" s="49">
        <v>358001</v>
      </c>
      <c r="I639" s="44" t="str">
        <f>IF(H639&lt;=0,"",VLOOKUP(H639,[1]COG!A:H,2,0))</f>
        <v>Servicios de higiene y limpieza</v>
      </c>
      <c r="J639" s="39">
        <v>3857</v>
      </c>
      <c r="K639" s="39">
        <v>3436</v>
      </c>
      <c r="L639" s="50"/>
      <c r="M639" s="50"/>
      <c r="N639" s="1">
        <f>Tabla5[[#This Row],[TRIMESTRE  I]]+Tabla5[[#This Row],[TRIMESTRE II]]+Tabla5[[#This Row],[TRIMESTRE III]]+Tabla5[[#This Row],[TRIMESTRE IV]]</f>
        <v>7293</v>
      </c>
      <c r="O639" s="39"/>
      <c r="P639" s="39"/>
      <c r="Q639" s="59"/>
    </row>
    <row r="640" spans="2:17" ht="22.5" x14ac:dyDescent="0.2">
      <c r="B640" s="46">
        <v>502046</v>
      </c>
      <c r="C640" s="47" t="s">
        <v>523</v>
      </c>
      <c r="D640" s="48">
        <v>530</v>
      </c>
      <c r="E640" s="43" t="str">
        <f>IF(D640&lt;=0,"",VLOOKUP(D640,[1]FF!A:D,2,0))</f>
        <v>PARTICIPACIONES Ramo 28</v>
      </c>
      <c r="F640" s="37" t="s">
        <v>527</v>
      </c>
      <c r="G640" s="37" t="s">
        <v>458</v>
      </c>
      <c r="H640" s="49">
        <v>359001</v>
      </c>
      <c r="I640" s="44" t="str">
        <f>IF(H640&lt;=0,"",VLOOKUP(H640,[1]COG!A:H,2,0))</f>
        <v>Árboles, plantas, semillas y abonos</v>
      </c>
      <c r="J640" s="39">
        <v>731</v>
      </c>
      <c r="K640" s="39">
        <v>652</v>
      </c>
      <c r="L640" s="50"/>
      <c r="M640" s="50"/>
      <c r="N640" s="1">
        <f>Tabla5[[#This Row],[TRIMESTRE  I]]+Tabla5[[#This Row],[TRIMESTRE II]]+Tabla5[[#This Row],[TRIMESTRE III]]+Tabla5[[#This Row],[TRIMESTRE IV]]</f>
        <v>1383</v>
      </c>
      <c r="O640" s="39"/>
      <c r="P640" s="39"/>
      <c r="Q640" s="59"/>
    </row>
    <row r="641" spans="2:17" ht="22.5" x14ac:dyDescent="0.2">
      <c r="B641" s="46">
        <v>502046</v>
      </c>
      <c r="C641" s="47" t="s">
        <v>523</v>
      </c>
      <c r="D641" s="48">
        <v>530</v>
      </c>
      <c r="E641" s="43" t="str">
        <f>IF(D641&lt;=0,"",VLOOKUP(D641,[1]FF!A:D,2,0))</f>
        <v>PARTICIPACIONES Ramo 28</v>
      </c>
      <c r="F641" s="37" t="s">
        <v>527</v>
      </c>
      <c r="G641" s="37" t="s">
        <v>458</v>
      </c>
      <c r="H641" s="49">
        <v>361002</v>
      </c>
      <c r="I641" s="44" t="str">
        <f>IF(H641&lt;=0,"",VLOOKUP(H641,[1]COG!A:H,2,0))</f>
        <v>Impresiones y publicaciones oficiales</v>
      </c>
      <c r="J641" s="39">
        <v>2677</v>
      </c>
      <c r="K641" s="39">
        <v>2383</v>
      </c>
      <c r="L641" s="50"/>
      <c r="M641" s="50"/>
      <c r="N641" s="1">
        <f>Tabla5[[#This Row],[TRIMESTRE  I]]+Tabla5[[#This Row],[TRIMESTRE II]]+Tabla5[[#This Row],[TRIMESTRE III]]+Tabla5[[#This Row],[TRIMESTRE IV]]</f>
        <v>5060</v>
      </c>
      <c r="O641" s="39"/>
      <c r="P641" s="39"/>
      <c r="Q641" s="59"/>
    </row>
    <row r="642" spans="2:17" ht="22.5" x14ac:dyDescent="0.2">
      <c r="B642" s="46">
        <v>502046</v>
      </c>
      <c r="C642" s="47" t="s">
        <v>523</v>
      </c>
      <c r="D642" s="48">
        <v>530</v>
      </c>
      <c r="E642" s="43" t="str">
        <f>IF(D642&lt;=0,"",VLOOKUP(D642,[1]FF!A:D,2,0))</f>
        <v>PARTICIPACIONES Ramo 28</v>
      </c>
      <c r="F642" s="37" t="s">
        <v>527</v>
      </c>
      <c r="G642" s="37" t="s">
        <v>458</v>
      </c>
      <c r="H642" s="49">
        <v>361003</v>
      </c>
      <c r="I642" s="44" t="str">
        <f>IF(H642&lt;=0,"",VLOOKUP(H642,[1]COG!A:H,2,0))</f>
        <v>Rotulaciones oficiales</v>
      </c>
      <c r="J642" s="39">
        <v>3257</v>
      </c>
      <c r="K642" s="39">
        <v>2900</v>
      </c>
      <c r="L642" s="50"/>
      <c r="M642" s="50"/>
      <c r="N642" s="1">
        <f>Tabla5[[#This Row],[TRIMESTRE  I]]+Tabla5[[#This Row],[TRIMESTRE II]]+Tabla5[[#This Row],[TRIMESTRE III]]+Tabla5[[#This Row],[TRIMESTRE IV]]</f>
        <v>6157</v>
      </c>
      <c r="O642" s="39"/>
      <c r="P642" s="39"/>
      <c r="Q642" s="59"/>
    </row>
    <row r="643" spans="2:17" ht="22.5" x14ac:dyDescent="0.2">
      <c r="B643" s="46">
        <v>502046</v>
      </c>
      <c r="C643" s="47" t="s">
        <v>523</v>
      </c>
      <c r="D643" s="48">
        <v>530</v>
      </c>
      <c r="E643" s="43" t="str">
        <f>IF(D643&lt;=0,"",VLOOKUP(D643,[1]FF!A:D,2,0))</f>
        <v>PARTICIPACIONES Ramo 28</v>
      </c>
      <c r="F643" s="37" t="s">
        <v>527</v>
      </c>
      <c r="G643" s="37" t="s">
        <v>458</v>
      </c>
      <c r="H643" s="49">
        <v>371001</v>
      </c>
      <c r="I643" s="44" t="str">
        <f>IF(H643&lt;=0,"",VLOOKUP(H643,[1]COG!A:H,2,0))</f>
        <v>Pasajes aéreos</v>
      </c>
      <c r="J643" s="39">
        <v>22016</v>
      </c>
      <c r="K643" s="39">
        <v>33024</v>
      </c>
      <c r="L643" s="50"/>
      <c r="M643" s="50"/>
      <c r="N643" s="1">
        <f>Tabla5[[#This Row],[TRIMESTRE  I]]+Tabla5[[#This Row],[TRIMESTRE II]]+Tabla5[[#This Row],[TRIMESTRE III]]+Tabla5[[#This Row],[TRIMESTRE IV]]</f>
        <v>55040</v>
      </c>
      <c r="O643" s="39"/>
      <c r="P643" s="39"/>
      <c r="Q643" s="59"/>
    </row>
    <row r="644" spans="2:17" ht="22.5" x14ac:dyDescent="0.2">
      <c r="B644" s="46">
        <v>502046</v>
      </c>
      <c r="C644" s="47" t="s">
        <v>523</v>
      </c>
      <c r="D644" s="48">
        <v>530</v>
      </c>
      <c r="E644" s="43" t="str">
        <f>IF(D644&lt;=0,"",VLOOKUP(D644,[1]FF!A:D,2,0))</f>
        <v>PARTICIPACIONES Ramo 28</v>
      </c>
      <c r="F644" s="37" t="s">
        <v>527</v>
      </c>
      <c r="G644" s="37" t="s">
        <v>458</v>
      </c>
      <c r="H644" s="49">
        <v>375001</v>
      </c>
      <c r="I644" s="44" t="str">
        <f>IF(H644&lt;=0,"",VLOOKUP(H644,[1]COG!A:H,2,0))</f>
        <v>Viáticos</v>
      </c>
      <c r="J644" s="39">
        <v>21366</v>
      </c>
      <c r="K644" s="39">
        <v>31998</v>
      </c>
      <c r="L644" s="50"/>
      <c r="M644" s="50"/>
      <c r="N644" s="1">
        <f>Tabla5[[#This Row],[TRIMESTRE  I]]+Tabla5[[#This Row],[TRIMESTRE II]]+Tabla5[[#This Row],[TRIMESTRE III]]+Tabla5[[#This Row],[TRIMESTRE IV]]</f>
        <v>53364</v>
      </c>
      <c r="O644" s="39"/>
      <c r="P644" s="39"/>
      <c r="Q644" s="59"/>
    </row>
    <row r="645" spans="2:17" ht="22.5" x14ac:dyDescent="0.2">
      <c r="B645" s="46">
        <v>502046</v>
      </c>
      <c r="C645" s="47" t="s">
        <v>523</v>
      </c>
      <c r="D645" s="48">
        <v>530</v>
      </c>
      <c r="E645" s="43" t="str">
        <f>IF(D645&lt;=0,"",VLOOKUP(D645,[1]FF!A:D,2,0))</f>
        <v>PARTICIPACIONES Ramo 28</v>
      </c>
      <c r="F645" s="37" t="s">
        <v>527</v>
      </c>
      <c r="G645" s="37" t="s">
        <v>458</v>
      </c>
      <c r="H645" s="49">
        <v>382002</v>
      </c>
      <c r="I645" s="44" t="str">
        <f>IF(H645&lt;=0,"",VLOOKUP(H645,[1]COG!A:H,2,0))</f>
        <v>Gastos de recepción, conmemorativos y de orden social</v>
      </c>
      <c r="J645" s="39">
        <v>22884</v>
      </c>
      <c r="K645" s="39">
        <v>22884</v>
      </c>
      <c r="L645" s="50"/>
      <c r="M645" s="50"/>
      <c r="N645" s="1">
        <f>Tabla5[[#This Row],[TRIMESTRE  I]]+Tabla5[[#This Row],[TRIMESTRE II]]+Tabla5[[#This Row],[TRIMESTRE III]]+Tabla5[[#This Row],[TRIMESTRE IV]]</f>
        <v>45768</v>
      </c>
      <c r="O645" s="39"/>
      <c r="P645" s="39"/>
      <c r="Q645" s="59"/>
    </row>
    <row r="646" spans="2:17" ht="22.5" x14ac:dyDescent="0.2">
      <c r="B646" s="46">
        <v>502046</v>
      </c>
      <c r="C646" s="47" t="s">
        <v>523</v>
      </c>
      <c r="D646" s="48">
        <v>530</v>
      </c>
      <c r="E646" s="43" t="str">
        <f>IF(D646&lt;=0,"",VLOOKUP(D646,[1]FF!A:D,2,0))</f>
        <v>PARTICIPACIONES Ramo 28</v>
      </c>
      <c r="F646" s="37" t="s">
        <v>527</v>
      </c>
      <c r="G646" s="37" t="s">
        <v>458</v>
      </c>
      <c r="H646" s="49">
        <v>382003</v>
      </c>
      <c r="I646" s="44" t="str">
        <f>IF(H646&lt;=0,"",VLOOKUP(H646,[1]COG!A:H,2,0))</f>
        <v>Adaptaciones para eventos sociales y culturales</v>
      </c>
      <c r="J646" s="39">
        <v>1038</v>
      </c>
      <c r="K646" s="39">
        <v>924</v>
      </c>
      <c r="L646" s="50"/>
      <c r="M646" s="50"/>
      <c r="N646" s="1">
        <f>Tabla5[[#This Row],[TRIMESTRE  I]]+Tabla5[[#This Row],[TRIMESTRE II]]+Tabla5[[#This Row],[TRIMESTRE III]]+Tabla5[[#This Row],[TRIMESTRE IV]]</f>
        <v>1962</v>
      </c>
      <c r="O646" s="39"/>
      <c r="P646" s="39"/>
      <c r="Q646" s="59"/>
    </row>
    <row r="647" spans="2:17" ht="22.5" x14ac:dyDescent="0.2">
      <c r="B647" s="46">
        <v>502046</v>
      </c>
      <c r="C647" s="47" t="s">
        <v>523</v>
      </c>
      <c r="D647" s="48">
        <v>530</v>
      </c>
      <c r="E647" s="43" t="str">
        <f>IF(D647&lt;=0,"",VLOOKUP(D647,[1]FF!A:D,2,0))</f>
        <v>PARTICIPACIONES Ramo 28</v>
      </c>
      <c r="F647" s="37" t="s">
        <v>527</v>
      </c>
      <c r="G647" s="37" t="s">
        <v>458</v>
      </c>
      <c r="H647" s="49">
        <v>392001</v>
      </c>
      <c r="I647" s="44" t="str">
        <f>IF(H647&lt;=0,"",VLOOKUP(H647,[1]COG!A:H,2,0))</f>
        <v>Impuestos y derechos</v>
      </c>
      <c r="J647" s="39">
        <v>1320</v>
      </c>
      <c r="K647" s="39">
        <v>1174</v>
      </c>
      <c r="L647" s="50"/>
      <c r="M647" s="50"/>
      <c r="N647" s="1">
        <f>Tabla5[[#This Row],[TRIMESTRE  I]]+Tabla5[[#This Row],[TRIMESTRE II]]+Tabla5[[#This Row],[TRIMESTRE III]]+Tabla5[[#This Row],[TRIMESTRE IV]]</f>
        <v>2494</v>
      </c>
      <c r="O647" s="39"/>
      <c r="P647" s="39"/>
      <c r="Q647" s="59"/>
    </row>
    <row r="648" spans="2:17" ht="22.5" x14ac:dyDescent="0.2">
      <c r="B648" s="46">
        <v>502046</v>
      </c>
      <c r="C648" s="47" t="s">
        <v>523</v>
      </c>
      <c r="D648" s="48">
        <v>530</v>
      </c>
      <c r="E648" s="43" t="str">
        <f>IF(D648&lt;=0,"",VLOOKUP(D648,[1]FF!A:D,2,0))</f>
        <v>PARTICIPACIONES Ramo 28</v>
      </c>
      <c r="F648" s="37" t="s">
        <v>527</v>
      </c>
      <c r="G648" s="37" t="s">
        <v>458</v>
      </c>
      <c r="H648" s="49">
        <v>399001</v>
      </c>
      <c r="I648" s="44" t="str">
        <f>IF(H648&lt;=0,"",VLOOKUP(H648,[1]COG!A:H,2,0))</f>
        <v>Gastos menores</v>
      </c>
      <c r="J648" s="39">
        <v>4695</v>
      </c>
      <c r="K648" s="39">
        <v>4183</v>
      </c>
      <c r="L648" s="50"/>
      <c r="M648" s="50"/>
      <c r="N648" s="1">
        <f>Tabla5[[#This Row],[TRIMESTRE  I]]+Tabla5[[#This Row],[TRIMESTRE II]]+Tabla5[[#This Row],[TRIMESTRE III]]+Tabla5[[#This Row],[TRIMESTRE IV]]</f>
        <v>8878</v>
      </c>
      <c r="O648" s="39"/>
      <c r="P648" s="39"/>
      <c r="Q648" s="59"/>
    </row>
    <row r="649" spans="2:17" ht="22.5" x14ac:dyDescent="0.2">
      <c r="B649" s="46">
        <v>502047</v>
      </c>
      <c r="C649" s="47" t="s">
        <v>523</v>
      </c>
      <c r="D649" s="48">
        <v>530</v>
      </c>
      <c r="E649" s="43" t="str">
        <f>IF(D649&lt;=0,"",VLOOKUP(D649,[1]FF!A:D,2,0))</f>
        <v>PARTICIPACIONES Ramo 28</v>
      </c>
      <c r="F649" s="37" t="s">
        <v>566</v>
      </c>
      <c r="G649" s="37" t="s">
        <v>458</v>
      </c>
      <c r="H649" s="49">
        <v>314001</v>
      </c>
      <c r="I649" s="44" t="str">
        <f>IF(H649&lt;=0,"",VLOOKUP(H649,[1]COG!A:H,2,0))</f>
        <v>Servicio telefónico</v>
      </c>
      <c r="J649" s="39">
        <v>27798</v>
      </c>
      <c r="K649" s="39">
        <v>16994</v>
      </c>
      <c r="L649" s="50"/>
      <c r="M649" s="50"/>
      <c r="N649" s="1">
        <f>Tabla5[[#This Row],[TRIMESTRE  I]]+Tabla5[[#This Row],[TRIMESTRE II]]+Tabla5[[#This Row],[TRIMESTRE III]]+Tabla5[[#This Row],[TRIMESTRE IV]]</f>
        <v>44792</v>
      </c>
      <c r="O649" s="39"/>
      <c r="P649" s="39"/>
      <c r="Q649" s="59"/>
    </row>
    <row r="650" spans="2:17" ht="27" x14ac:dyDescent="0.2">
      <c r="B650" s="46">
        <v>502047</v>
      </c>
      <c r="C650" s="47" t="s">
        <v>523</v>
      </c>
      <c r="D650" s="48">
        <v>530</v>
      </c>
      <c r="E650" s="43" t="str">
        <f>IF(D650&lt;=0,"",VLOOKUP(D650,[1]FF!A:D,2,0))</f>
        <v>PARTICIPACIONES Ramo 28</v>
      </c>
      <c r="F650" s="37" t="s">
        <v>566</v>
      </c>
      <c r="G650" s="37" t="s">
        <v>458</v>
      </c>
      <c r="H650" s="49">
        <v>333003</v>
      </c>
      <c r="I650" s="44" t="str">
        <f>IF(H650&lt;=0,"",VLOOKUP(H650,[1]COG!A:H,2,0))</f>
        <v>Servicios de consultoría administrativa, procesos, técnica y en tecnologías de la información</v>
      </c>
      <c r="J650" s="39">
        <v>35107</v>
      </c>
      <c r="K650" s="39">
        <v>31264</v>
      </c>
      <c r="L650" s="50"/>
      <c r="M650" s="50"/>
      <c r="N650" s="1">
        <f>Tabla5[[#This Row],[TRIMESTRE  I]]+Tabla5[[#This Row],[TRIMESTRE II]]+Tabla5[[#This Row],[TRIMESTRE III]]+Tabla5[[#This Row],[TRIMESTRE IV]]</f>
        <v>66371</v>
      </c>
      <c r="O650" s="39"/>
      <c r="P650" s="39"/>
      <c r="Q650" s="59"/>
    </row>
    <row r="651" spans="2:17" ht="27" x14ac:dyDescent="0.2">
      <c r="B651" s="46">
        <v>502047</v>
      </c>
      <c r="C651" s="47" t="s">
        <v>523</v>
      </c>
      <c r="D651" s="48">
        <v>530</v>
      </c>
      <c r="E651" s="43" t="str">
        <f>IF(D651&lt;=0,"",VLOOKUP(D651,[1]FF!A:D,2,0))</f>
        <v>PARTICIPACIONES Ramo 28</v>
      </c>
      <c r="F651" s="37" t="s">
        <v>566</v>
      </c>
      <c r="G651" s="37" t="s">
        <v>458</v>
      </c>
      <c r="H651" s="49">
        <v>355001</v>
      </c>
      <c r="I651" s="44" t="str">
        <f>IF(H651&lt;=0,"",VLOOKUP(H651,[1]COG!A:H,2,0))</f>
        <v>Mantto. y conservación de vehículos terrestres, aéreos, marítimos, lacustres y fluviales</v>
      </c>
      <c r="J651" s="39">
        <v>3886</v>
      </c>
      <c r="K651" s="39">
        <v>3461</v>
      </c>
      <c r="L651" s="50"/>
      <c r="M651" s="50"/>
      <c r="N651" s="1">
        <f>Tabla5[[#This Row],[TRIMESTRE  I]]+Tabla5[[#This Row],[TRIMESTRE II]]+Tabla5[[#This Row],[TRIMESTRE III]]+Tabla5[[#This Row],[TRIMESTRE IV]]</f>
        <v>7347</v>
      </c>
      <c r="O651" s="39"/>
      <c r="P651" s="39"/>
      <c r="Q651" s="59"/>
    </row>
    <row r="652" spans="2:17" ht="22.5" x14ac:dyDescent="0.2">
      <c r="B652" s="46">
        <v>502047</v>
      </c>
      <c r="C652" s="47" t="s">
        <v>523</v>
      </c>
      <c r="D652" s="48">
        <v>530</v>
      </c>
      <c r="E652" s="43" t="str">
        <f>IF(D652&lt;=0,"",VLOOKUP(D652,[1]FF!A:D,2,0))</f>
        <v>PARTICIPACIONES Ramo 28</v>
      </c>
      <c r="F652" s="37" t="s">
        <v>566</v>
      </c>
      <c r="G652" s="37" t="s">
        <v>458</v>
      </c>
      <c r="H652" s="49">
        <v>358001</v>
      </c>
      <c r="I652" s="44" t="str">
        <f>IF(H652&lt;=0,"",VLOOKUP(H652,[1]COG!A:H,2,0))</f>
        <v>Servicios de higiene y limpieza</v>
      </c>
      <c r="J652" s="39">
        <v>473</v>
      </c>
      <c r="K652" s="39">
        <v>422</v>
      </c>
      <c r="L652" s="50"/>
      <c r="M652" s="50"/>
      <c r="N652" s="1">
        <f>Tabla5[[#This Row],[TRIMESTRE  I]]+Tabla5[[#This Row],[TRIMESTRE II]]+Tabla5[[#This Row],[TRIMESTRE III]]+Tabla5[[#This Row],[TRIMESTRE IV]]</f>
        <v>895</v>
      </c>
      <c r="O652" s="39"/>
      <c r="P652" s="39"/>
      <c r="Q652" s="59"/>
    </row>
    <row r="653" spans="2:17" ht="22.5" x14ac:dyDescent="0.2">
      <c r="B653" s="46">
        <v>502047</v>
      </c>
      <c r="C653" s="47" t="s">
        <v>523</v>
      </c>
      <c r="D653" s="48">
        <v>530</v>
      </c>
      <c r="E653" s="43" t="str">
        <f>IF(D653&lt;=0,"",VLOOKUP(D653,[1]FF!A:D,2,0))</f>
        <v>PARTICIPACIONES Ramo 28</v>
      </c>
      <c r="F653" s="37" t="s">
        <v>566</v>
      </c>
      <c r="G653" s="37" t="s">
        <v>458</v>
      </c>
      <c r="H653" s="49">
        <v>371001</v>
      </c>
      <c r="I653" s="44" t="str">
        <f>IF(H653&lt;=0,"",VLOOKUP(H653,[1]COG!A:H,2,0))</f>
        <v>Pasajes aéreos</v>
      </c>
      <c r="J653" s="39">
        <v>14103</v>
      </c>
      <c r="K653" s="39">
        <v>18816</v>
      </c>
      <c r="L653" s="50"/>
      <c r="M653" s="50"/>
      <c r="N653" s="1">
        <f>Tabla5[[#This Row],[TRIMESTRE  I]]+Tabla5[[#This Row],[TRIMESTRE II]]+Tabla5[[#This Row],[TRIMESTRE III]]+Tabla5[[#This Row],[TRIMESTRE IV]]</f>
        <v>32919</v>
      </c>
      <c r="O653" s="39"/>
      <c r="P653" s="39"/>
      <c r="Q653" s="59"/>
    </row>
    <row r="654" spans="2:17" ht="22.5" x14ac:dyDescent="0.2">
      <c r="B654" s="46">
        <v>502047</v>
      </c>
      <c r="C654" s="47" t="s">
        <v>523</v>
      </c>
      <c r="D654" s="48">
        <v>530</v>
      </c>
      <c r="E654" s="43" t="str">
        <f>IF(D654&lt;=0,"",VLOOKUP(D654,[1]FF!A:D,2,0))</f>
        <v>PARTICIPACIONES Ramo 28</v>
      </c>
      <c r="F654" s="37" t="s">
        <v>566</v>
      </c>
      <c r="G654" s="37" t="s">
        <v>458</v>
      </c>
      <c r="H654" s="49">
        <v>375001</v>
      </c>
      <c r="I654" s="44" t="str">
        <f>IF(H654&lt;=0,"",VLOOKUP(H654,[1]COG!A:H,2,0))</f>
        <v>Viáticos</v>
      </c>
      <c r="J654" s="39">
        <v>24522</v>
      </c>
      <c r="K654" s="39">
        <v>20397</v>
      </c>
      <c r="L654" s="50"/>
      <c r="M654" s="50"/>
      <c r="N654" s="1">
        <f>Tabla5[[#This Row],[TRIMESTRE  I]]+Tabla5[[#This Row],[TRIMESTRE II]]+Tabla5[[#This Row],[TRIMESTRE III]]+Tabla5[[#This Row],[TRIMESTRE IV]]</f>
        <v>44919</v>
      </c>
      <c r="O654" s="39"/>
      <c r="P654" s="39"/>
      <c r="Q654" s="59"/>
    </row>
    <row r="655" spans="2:17" ht="22.5" x14ac:dyDescent="0.2">
      <c r="B655" s="46">
        <v>502047</v>
      </c>
      <c r="C655" s="47" t="s">
        <v>523</v>
      </c>
      <c r="D655" s="48">
        <v>530</v>
      </c>
      <c r="E655" s="43" t="str">
        <f>IF(D655&lt;=0,"",VLOOKUP(D655,[1]FF!A:D,2,0))</f>
        <v>PARTICIPACIONES Ramo 28</v>
      </c>
      <c r="F655" s="37" t="s">
        <v>566</v>
      </c>
      <c r="G655" s="37" t="s">
        <v>458</v>
      </c>
      <c r="H655" s="49">
        <v>382002</v>
      </c>
      <c r="I655" s="44" t="str">
        <f>IF(H655&lt;=0,"",VLOOKUP(H655,[1]COG!A:H,2,0))</f>
        <v>Gastos de recepción, conmemorativos y de orden social</v>
      </c>
      <c r="J655" s="39">
        <v>11566</v>
      </c>
      <c r="K655" s="39">
        <v>10300</v>
      </c>
      <c r="L655" s="50"/>
      <c r="M655" s="50"/>
      <c r="N655" s="1">
        <f>Tabla5[[#This Row],[TRIMESTRE  I]]+Tabla5[[#This Row],[TRIMESTRE II]]+Tabla5[[#This Row],[TRIMESTRE III]]+Tabla5[[#This Row],[TRIMESTRE IV]]</f>
        <v>21866</v>
      </c>
      <c r="O655" s="39"/>
      <c r="P655" s="39"/>
      <c r="Q655" s="59"/>
    </row>
    <row r="656" spans="2:17" ht="22.5" x14ac:dyDescent="0.2">
      <c r="B656" s="46">
        <v>502047</v>
      </c>
      <c r="C656" s="47" t="s">
        <v>523</v>
      </c>
      <c r="D656" s="48">
        <v>530</v>
      </c>
      <c r="E656" s="43" t="str">
        <f>IF(D656&lt;=0,"",VLOOKUP(D656,[1]FF!A:D,2,0))</f>
        <v>PARTICIPACIONES Ramo 28</v>
      </c>
      <c r="F656" s="37" t="s">
        <v>566</v>
      </c>
      <c r="G656" s="37" t="s">
        <v>458</v>
      </c>
      <c r="H656" s="49">
        <v>392001</v>
      </c>
      <c r="I656" s="44" t="str">
        <f>IF(H656&lt;=0,"",VLOOKUP(H656,[1]COG!A:H,2,0))</f>
        <v>Impuestos y derechos</v>
      </c>
      <c r="J656" s="39">
        <v>352</v>
      </c>
      <c r="K656" s="39">
        <v>314</v>
      </c>
      <c r="L656" s="50"/>
      <c r="M656" s="50"/>
      <c r="N656" s="1">
        <f>Tabla5[[#This Row],[TRIMESTRE  I]]+Tabla5[[#This Row],[TRIMESTRE II]]+Tabla5[[#This Row],[TRIMESTRE III]]+Tabla5[[#This Row],[TRIMESTRE IV]]</f>
        <v>666</v>
      </c>
      <c r="O656" s="39"/>
      <c r="P656" s="39"/>
      <c r="Q656" s="59"/>
    </row>
    <row r="657" spans="2:17" ht="22.5" x14ac:dyDescent="0.2">
      <c r="B657" s="46">
        <v>502047</v>
      </c>
      <c r="C657" s="47" t="s">
        <v>523</v>
      </c>
      <c r="D657" s="48">
        <v>530</v>
      </c>
      <c r="E657" s="43" t="str">
        <f>IF(D657&lt;=0,"",VLOOKUP(D657,[1]FF!A:D,2,0))</f>
        <v>PARTICIPACIONES Ramo 28</v>
      </c>
      <c r="F657" s="37" t="s">
        <v>566</v>
      </c>
      <c r="G657" s="37" t="s">
        <v>458</v>
      </c>
      <c r="H657" s="49">
        <v>399001</v>
      </c>
      <c r="I657" s="44" t="str">
        <f>IF(H657&lt;=0,"",VLOOKUP(H657,[1]COG!A:H,2,0))</f>
        <v>Gastos menores</v>
      </c>
      <c r="J657" s="39">
        <v>936</v>
      </c>
      <c r="K657" s="39">
        <v>835</v>
      </c>
      <c r="L657" s="50"/>
      <c r="M657" s="50"/>
      <c r="N657" s="1">
        <f>Tabla5[[#This Row],[TRIMESTRE  I]]+Tabla5[[#This Row],[TRIMESTRE II]]+Tabla5[[#This Row],[TRIMESTRE III]]+Tabla5[[#This Row],[TRIMESTRE IV]]</f>
        <v>1771</v>
      </c>
      <c r="O657" s="39"/>
      <c r="P657" s="39"/>
      <c r="Q657" s="59"/>
    </row>
    <row r="658" spans="2:17" ht="33.75" x14ac:dyDescent="0.2">
      <c r="B658" s="46">
        <v>502048</v>
      </c>
      <c r="C658" s="47" t="s">
        <v>523</v>
      </c>
      <c r="D658" s="48">
        <v>530</v>
      </c>
      <c r="E658" s="43" t="str">
        <f>IF(D658&lt;=0,"",VLOOKUP(D658,[1]FF!A:D,2,0))</f>
        <v>PARTICIPACIONES Ramo 28</v>
      </c>
      <c r="F658" s="37" t="s">
        <v>529</v>
      </c>
      <c r="G658" s="37" t="s">
        <v>458</v>
      </c>
      <c r="H658" s="49">
        <v>311001</v>
      </c>
      <c r="I658" s="44" t="str">
        <f>IF(H658&lt;=0,"",VLOOKUP(H658,[1]COG!A:H,2,0))</f>
        <v>Servicio de energía eléctrica</v>
      </c>
      <c r="J658" s="39">
        <v>0</v>
      </c>
      <c r="K658" s="39">
        <v>0</v>
      </c>
      <c r="L658" s="50"/>
      <c r="M658" s="50"/>
      <c r="N658" s="1">
        <f>Tabla5[[#This Row],[TRIMESTRE  I]]+Tabla5[[#This Row],[TRIMESTRE II]]+Tabla5[[#This Row],[TRIMESTRE III]]+Tabla5[[#This Row],[TRIMESTRE IV]]</f>
        <v>0</v>
      </c>
      <c r="O658" s="39"/>
      <c r="P658" s="39"/>
      <c r="Q658" s="59"/>
    </row>
    <row r="659" spans="2:17" x14ac:dyDescent="0.2">
      <c r="B659" s="46">
        <v>503049</v>
      </c>
      <c r="C659" s="47" t="s">
        <v>523</v>
      </c>
      <c r="D659" s="48">
        <v>530</v>
      </c>
      <c r="E659" s="43" t="str">
        <f>IF(D659&lt;=0,"",VLOOKUP(D659,[1]FF!A:D,2,0))</f>
        <v>PARTICIPACIONES Ramo 28</v>
      </c>
      <c r="F659" s="37" t="s">
        <v>530</v>
      </c>
      <c r="G659" s="37" t="s">
        <v>458</v>
      </c>
      <c r="H659" s="49">
        <v>311001</v>
      </c>
      <c r="I659" s="44" t="str">
        <f>IF(H659&lt;=0,"",VLOOKUP(H659,[1]COG!A:H,2,0))</f>
        <v>Servicio de energía eléctrica</v>
      </c>
      <c r="J659" s="39">
        <v>17844</v>
      </c>
      <c r="K659" s="39">
        <v>11715</v>
      </c>
      <c r="L659" s="50"/>
      <c r="M659" s="50"/>
      <c r="N659" s="1">
        <f>Tabla5[[#This Row],[TRIMESTRE  I]]+Tabla5[[#This Row],[TRIMESTRE II]]+Tabla5[[#This Row],[TRIMESTRE III]]+Tabla5[[#This Row],[TRIMESTRE IV]]</f>
        <v>29559</v>
      </c>
      <c r="O659" s="39"/>
      <c r="P659" s="39"/>
      <c r="Q659" s="59"/>
    </row>
    <row r="660" spans="2:17" x14ac:dyDescent="0.2">
      <c r="B660" s="46">
        <v>503049</v>
      </c>
      <c r="C660" s="47" t="s">
        <v>523</v>
      </c>
      <c r="D660" s="48">
        <v>530</v>
      </c>
      <c r="E660" s="43" t="str">
        <f>IF(D660&lt;=0,"",VLOOKUP(D660,[1]FF!A:D,2,0))</f>
        <v>PARTICIPACIONES Ramo 28</v>
      </c>
      <c r="F660" s="37" t="s">
        <v>530</v>
      </c>
      <c r="G660" s="37" t="s">
        <v>458</v>
      </c>
      <c r="H660" s="49">
        <v>314001</v>
      </c>
      <c r="I660" s="44" t="str">
        <f>IF(H660&lt;=0,"",VLOOKUP(H660,[1]COG!A:H,2,0))</f>
        <v>Servicio telefónico</v>
      </c>
      <c r="J660" s="39">
        <v>23805</v>
      </c>
      <c r="K660" s="39">
        <v>31797</v>
      </c>
      <c r="L660" s="50"/>
      <c r="M660" s="50"/>
      <c r="N660" s="1">
        <f>Tabla5[[#This Row],[TRIMESTRE  I]]+Tabla5[[#This Row],[TRIMESTRE II]]+Tabla5[[#This Row],[TRIMESTRE III]]+Tabla5[[#This Row],[TRIMESTRE IV]]</f>
        <v>55602</v>
      </c>
      <c r="O660" s="39"/>
      <c r="P660" s="39"/>
      <c r="Q660" s="59"/>
    </row>
    <row r="661" spans="2:17" ht="18" x14ac:dyDescent="0.2">
      <c r="B661" s="46">
        <v>503049</v>
      </c>
      <c r="C661" s="47" t="s">
        <v>523</v>
      </c>
      <c r="D661" s="48">
        <v>530</v>
      </c>
      <c r="E661" s="43" t="str">
        <f>IF(D661&lt;=0,"",VLOOKUP(D661,[1]FF!A:D,2,0))</f>
        <v>PARTICIPACIONES Ramo 28</v>
      </c>
      <c r="F661" s="37" t="s">
        <v>530</v>
      </c>
      <c r="G661" s="37" t="s">
        <v>458</v>
      </c>
      <c r="H661" s="49">
        <v>317001</v>
      </c>
      <c r="I661" s="44" t="str">
        <f>IF(H661&lt;=0,"",VLOOKUP(H661,[1]COG!A:H,2,0))</f>
        <v>Servicios de acceso de Internet, redes y procesamiento de información</v>
      </c>
      <c r="J661" s="39">
        <v>376893</v>
      </c>
      <c r="K661" s="39">
        <v>376893</v>
      </c>
      <c r="L661" s="50"/>
      <c r="M661" s="50"/>
      <c r="N661" s="1">
        <f>Tabla5[[#This Row],[TRIMESTRE  I]]+Tabla5[[#This Row],[TRIMESTRE II]]+Tabla5[[#This Row],[TRIMESTRE III]]+Tabla5[[#This Row],[TRIMESTRE IV]]</f>
        <v>753786</v>
      </c>
      <c r="O661" s="39"/>
      <c r="P661" s="39"/>
      <c r="Q661" s="59"/>
    </row>
    <row r="662" spans="2:17" x14ac:dyDescent="0.2">
      <c r="B662" s="46">
        <v>503049</v>
      </c>
      <c r="C662" s="47" t="s">
        <v>523</v>
      </c>
      <c r="D662" s="48">
        <v>530</v>
      </c>
      <c r="E662" s="43" t="str">
        <f>IF(D662&lt;=0,"",VLOOKUP(D662,[1]FF!A:D,2,0))</f>
        <v>PARTICIPACIONES Ramo 28</v>
      </c>
      <c r="F662" s="37" t="s">
        <v>530</v>
      </c>
      <c r="G662" s="37" t="s">
        <v>458</v>
      </c>
      <c r="H662" s="49">
        <v>318001</v>
      </c>
      <c r="I662" s="44" t="str">
        <f>IF(H662&lt;=0,"",VLOOKUP(H662,[1]COG!A:H,2,0))</f>
        <v>Servicio postal y telegráfico</v>
      </c>
      <c r="J662" s="39">
        <v>39000</v>
      </c>
      <c r="K662" s="39">
        <v>39000</v>
      </c>
      <c r="L662" s="50"/>
      <c r="M662" s="50"/>
      <c r="N662" s="1">
        <f>Tabla5[[#This Row],[TRIMESTRE  I]]+Tabla5[[#This Row],[TRIMESTRE II]]+Tabla5[[#This Row],[TRIMESTRE III]]+Tabla5[[#This Row],[TRIMESTRE IV]]</f>
        <v>78000</v>
      </c>
      <c r="O662" s="39"/>
      <c r="P662" s="39"/>
      <c r="Q662" s="59"/>
    </row>
    <row r="663" spans="2:17" x14ac:dyDescent="0.2">
      <c r="B663" s="46">
        <v>503049</v>
      </c>
      <c r="C663" s="47" t="s">
        <v>523</v>
      </c>
      <c r="D663" s="48">
        <v>530</v>
      </c>
      <c r="E663" s="43" t="str">
        <f>IF(D663&lt;=0,"",VLOOKUP(D663,[1]FF!A:D,2,0))</f>
        <v>PARTICIPACIONES Ramo 28</v>
      </c>
      <c r="F663" s="37" t="s">
        <v>530</v>
      </c>
      <c r="G663" s="37" t="s">
        <v>458</v>
      </c>
      <c r="H663" s="49">
        <v>322001</v>
      </c>
      <c r="I663" s="44" t="str">
        <f>IF(H663&lt;=0,"",VLOOKUP(H663,[1]COG!A:H,2,0))</f>
        <v>Arrendamiento de edificios</v>
      </c>
      <c r="J663" s="39">
        <v>744813</v>
      </c>
      <c r="K663" s="39">
        <v>744813</v>
      </c>
      <c r="L663" s="50"/>
      <c r="M663" s="50"/>
      <c r="N663" s="1">
        <f>Tabla5[[#This Row],[TRIMESTRE  I]]+Tabla5[[#This Row],[TRIMESTRE II]]+Tabla5[[#This Row],[TRIMESTRE III]]+Tabla5[[#This Row],[TRIMESTRE IV]]</f>
        <v>1489626</v>
      </c>
      <c r="O663" s="39"/>
      <c r="P663" s="39"/>
      <c r="Q663" s="59"/>
    </row>
    <row r="664" spans="2:17" x14ac:dyDescent="0.2">
      <c r="B664" s="46">
        <v>503049</v>
      </c>
      <c r="C664" s="47" t="s">
        <v>523</v>
      </c>
      <c r="D664" s="48">
        <v>530</v>
      </c>
      <c r="E664" s="43" t="str">
        <f>IF(D664&lt;=0,"",VLOOKUP(D664,[1]FF!A:D,2,0))</f>
        <v>PARTICIPACIONES Ramo 28</v>
      </c>
      <c r="F664" s="37" t="s">
        <v>530</v>
      </c>
      <c r="G664" s="37" t="s">
        <v>458</v>
      </c>
      <c r="H664" s="49">
        <v>323001</v>
      </c>
      <c r="I664" s="44" t="str">
        <f>IF(H664&lt;=0,"",VLOOKUP(H664,[1]COG!A:H,2,0))</f>
        <v>Arrendamiento de maquinaria y equipo</v>
      </c>
      <c r="J664" s="39">
        <v>29577</v>
      </c>
      <c r="K664" s="39">
        <v>29577</v>
      </c>
      <c r="L664" s="50"/>
      <c r="M664" s="50"/>
      <c r="N664" s="1">
        <f>Tabla5[[#This Row],[TRIMESTRE  I]]+Tabla5[[#This Row],[TRIMESTRE II]]+Tabla5[[#This Row],[TRIMESTRE III]]+Tabla5[[#This Row],[TRIMESTRE IV]]</f>
        <v>59154</v>
      </c>
      <c r="O664" s="39"/>
      <c r="P664" s="39"/>
      <c r="Q664" s="59"/>
    </row>
    <row r="665" spans="2:17" x14ac:dyDescent="0.2">
      <c r="B665" s="46">
        <v>503049</v>
      </c>
      <c r="C665" s="47" t="s">
        <v>523</v>
      </c>
      <c r="D665" s="48">
        <v>530</v>
      </c>
      <c r="E665" s="43" t="str">
        <f>IF(D665&lt;=0,"",VLOOKUP(D665,[1]FF!A:D,2,0))</f>
        <v>PARTICIPACIONES Ramo 28</v>
      </c>
      <c r="F665" s="37" t="s">
        <v>530</v>
      </c>
      <c r="G665" s="37" t="s">
        <v>458</v>
      </c>
      <c r="H665" s="49">
        <v>331001</v>
      </c>
      <c r="I665" s="44" t="str">
        <f>IF(H665&lt;=0,"",VLOOKUP(H665,[1]COG!A:H,2,0))</f>
        <v>Asesorías</v>
      </c>
      <c r="J665" s="39">
        <v>21735</v>
      </c>
      <c r="K665" s="39">
        <v>21735</v>
      </c>
      <c r="L665" s="50"/>
      <c r="M665" s="50"/>
      <c r="N665" s="1">
        <f>Tabla5[[#This Row],[TRIMESTRE  I]]+Tabla5[[#This Row],[TRIMESTRE II]]+Tabla5[[#This Row],[TRIMESTRE III]]+Tabla5[[#This Row],[TRIMESTRE IV]]</f>
        <v>43470</v>
      </c>
      <c r="O665" s="39"/>
      <c r="P665" s="39"/>
      <c r="Q665" s="59"/>
    </row>
    <row r="666" spans="2:17" ht="18" x14ac:dyDescent="0.2">
      <c r="B666" s="46">
        <v>503049</v>
      </c>
      <c r="C666" s="47" t="s">
        <v>523</v>
      </c>
      <c r="D666" s="48">
        <v>530</v>
      </c>
      <c r="E666" s="43" t="str">
        <f>IF(D666&lt;=0,"",VLOOKUP(D666,[1]FF!A:D,2,0))</f>
        <v>PARTICIPACIONES Ramo 28</v>
      </c>
      <c r="F666" s="37" t="s">
        <v>530</v>
      </c>
      <c r="G666" s="37" t="s">
        <v>458</v>
      </c>
      <c r="H666" s="49">
        <v>336002</v>
      </c>
      <c r="I666" s="44" t="str">
        <f>IF(H666&lt;=0,"",VLOOKUP(H666,[1]COG!A:H,2,0))</f>
        <v>Servicio de Impresión y Elaboración de Material Informativo</v>
      </c>
      <c r="J666" s="39">
        <v>850725</v>
      </c>
      <c r="K666" s="39">
        <v>850725</v>
      </c>
      <c r="L666" s="50"/>
      <c r="M666" s="50"/>
      <c r="N666" s="1">
        <f>Tabla5[[#This Row],[TRIMESTRE  I]]+Tabla5[[#This Row],[TRIMESTRE II]]+Tabla5[[#This Row],[TRIMESTRE III]]+Tabla5[[#This Row],[TRIMESTRE IV]]</f>
        <v>1701450</v>
      </c>
      <c r="O666" s="39"/>
      <c r="P666" s="39"/>
      <c r="Q666" s="59"/>
    </row>
    <row r="667" spans="2:17" x14ac:dyDescent="0.2">
      <c r="B667" s="46">
        <v>503049</v>
      </c>
      <c r="C667" s="47" t="s">
        <v>523</v>
      </c>
      <c r="D667" s="48">
        <v>530</v>
      </c>
      <c r="E667" s="43" t="str">
        <f>IF(D667&lt;=0,"",VLOOKUP(D667,[1]FF!A:D,2,0))</f>
        <v>PARTICIPACIONES Ramo 28</v>
      </c>
      <c r="F667" s="37" t="s">
        <v>530</v>
      </c>
      <c r="G667" s="37" t="s">
        <v>458</v>
      </c>
      <c r="H667" s="49">
        <v>347001</v>
      </c>
      <c r="I667" s="44" t="str">
        <f>IF(H667&lt;=0,"",VLOOKUP(H667,[1]COG!A:H,2,0))</f>
        <v>Fletes, maniobras y almacenaje</v>
      </c>
      <c r="J667" s="39">
        <v>3943</v>
      </c>
      <c r="K667" s="39">
        <v>3510</v>
      </c>
      <c r="L667" s="50"/>
      <c r="M667" s="50"/>
      <c r="N667" s="1">
        <f>Tabla5[[#This Row],[TRIMESTRE  I]]+Tabla5[[#This Row],[TRIMESTRE II]]+Tabla5[[#This Row],[TRIMESTRE III]]+Tabla5[[#This Row],[TRIMESTRE IV]]</f>
        <v>7453</v>
      </c>
      <c r="O667" s="39"/>
      <c r="P667" s="39"/>
      <c r="Q667" s="59"/>
    </row>
    <row r="668" spans="2:17" x14ac:dyDescent="0.2">
      <c r="B668" s="46">
        <v>503049</v>
      </c>
      <c r="C668" s="47" t="s">
        <v>523</v>
      </c>
      <c r="D668" s="48">
        <v>530</v>
      </c>
      <c r="E668" s="43" t="str">
        <f>IF(D668&lt;=0,"",VLOOKUP(D668,[1]FF!A:D,2,0))</f>
        <v>PARTICIPACIONES Ramo 28</v>
      </c>
      <c r="F668" s="37" t="s">
        <v>530</v>
      </c>
      <c r="G668" s="37" t="s">
        <v>458</v>
      </c>
      <c r="H668" s="49">
        <v>351001</v>
      </c>
      <c r="I668" s="44" t="str">
        <f>IF(H668&lt;=0,"",VLOOKUP(H668,[1]COG!A:H,2,0))</f>
        <v>Mantenimiento de inmuebles</v>
      </c>
      <c r="J668" s="39">
        <v>3122</v>
      </c>
      <c r="K668" s="39">
        <v>2781</v>
      </c>
      <c r="L668" s="50"/>
      <c r="M668" s="50"/>
      <c r="N668" s="1">
        <f>Tabla5[[#This Row],[TRIMESTRE  I]]+Tabla5[[#This Row],[TRIMESTRE II]]+Tabla5[[#This Row],[TRIMESTRE III]]+Tabla5[[#This Row],[TRIMESTRE IV]]</f>
        <v>5903</v>
      </c>
      <c r="O668" s="39"/>
      <c r="P668" s="39"/>
      <c r="Q668" s="59"/>
    </row>
    <row r="669" spans="2:17" x14ac:dyDescent="0.2">
      <c r="B669" s="46">
        <v>503049</v>
      </c>
      <c r="C669" s="47" t="s">
        <v>523</v>
      </c>
      <c r="D669" s="48">
        <v>530</v>
      </c>
      <c r="E669" s="43" t="str">
        <f>IF(D669&lt;=0,"",VLOOKUP(D669,[1]FF!A:D,2,0))</f>
        <v>PARTICIPACIONES Ramo 28</v>
      </c>
      <c r="F669" s="37" t="s">
        <v>530</v>
      </c>
      <c r="G669" s="37" t="s">
        <v>458</v>
      </c>
      <c r="H669" s="49">
        <v>352001</v>
      </c>
      <c r="I669" s="44" t="str">
        <f>IF(H669&lt;=0,"",VLOOKUP(H669,[1]COG!A:H,2,0))</f>
        <v>Mantenimiento de mobiliario y equipo</v>
      </c>
      <c r="J669" s="39">
        <v>91209.12</v>
      </c>
      <c r="K669" s="39">
        <v>102270</v>
      </c>
      <c r="L669" s="50"/>
      <c r="M669" s="50"/>
      <c r="N669" s="1">
        <f>Tabla5[[#This Row],[TRIMESTRE  I]]+Tabla5[[#This Row],[TRIMESTRE II]]+Tabla5[[#This Row],[TRIMESTRE III]]+Tabla5[[#This Row],[TRIMESTRE IV]]</f>
        <v>193479.12</v>
      </c>
      <c r="O669" s="39"/>
      <c r="P669" s="39"/>
      <c r="Q669" s="59"/>
    </row>
    <row r="670" spans="2:17" ht="27" x14ac:dyDescent="0.2">
      <c r="B670" s="46">
        <v>503049</v>
      </c>
      <c r="C670" s="47" t="s">
        <v>523</v>
      </c>
      <c r="D670" s="48">
        <v>530</v>
      </c>
      <c r="E670" s="43" t="str">
        <f>IF(D670&lt;=0,"",VLOOKUP(D670,[1]FF!A:D,2,0))</f>
        <v>PARTICIPACIONES Ramo 28</v>
      </c>
      <c r="F670" s="37" t="s">
        <v>530</v>
      </c>
      <c r="G670" s="37" t="s">
        <v>458</v>
      </c>
      <c r="H670" s="49">
        <v>355001</v>
      </c>
      <c r="I670" s="44" t="str">
        <f>IF(H670&lt;=0,"",VLOOKUP(H670,[1]COG!A:H,2,0))</f>
        <v>Mantto. y conservación de vehículos terrestres, aéreos, marítimos, lacustres y fluviales</v>
      </c>
      <c r="J670" s="39">
        <v>84225</v>
      </c>
      <c r="K670" s="39">
        <v>84225</v>
      </c>
      <c r="L670" s="50"/>
      <c r="M670" s="50"/>
      <c r="N670" s="1">
        <f>Tabla5[[#This Row],[TRIMESTRE  I]]+Tabla5[[#This Row],[TRIMESTRE II]]+Tabla5[[#This Row],[TRIMESTRE III]]+Tabla5[[#This Row],[TRIMESTRE IV]]</f>
        <v>168450</v>
      </c>
      <c r="O670" s="39"/>
      <c r="P670" s="39"/>
      <c r="Q670" s="59"/>
    </row>
    <row r="671" spans="2:17" x14ac:dyDescent="0.2">
      <c r="B671" s="46">
        <v>503049</v>
      </c>
      <c r="C671" s="47" t="s">
        <v>523</v>
      </c>
      <c r="D671" s="48">
        <v>530</v>
      </c>
      <c r="E671" s="43" t="str">
        <f>IF(D671&lt;=0,"",VLOOKUP(D671,[1]FF!A:D,2,0))</f>
        <v>PARTICIPACIONES Ramo 28</v>
      </c>
      <c r="F671" s="37" t="s">
        <v>530</v>
      </c>
      <c r="G671" s="37" t="s">
        <v>458</v>
      </c>
      <c r="H671" s="49">
        <v>358001</v>
      </c>
      <c r="I671" s="44" t="str">
        <f>IF(H671&lt;=0,"",VLOOKUP(H671,[1]COG!A:H,2,0))</f>
        <v>Servicios de higiene y limpieza</v>
      </c>
      <c r="J671" s="39">
        <v>355</v>
      </c>
      <c r="K671" s="39">
        <v>231</v>
      </c>
      <c r="L671" s="50"/>
      <c r="M671" s="50"/>
      <c r="N671" s="1">
        <f>Tabla5[[#This Row],[TRIMESTRE  I]]+Tabla5[[#This Row],[TRIMESTRE II]]+Tabla5[[#This Row],[TRIMESTRE III]]+Tabla5[[#This Row],[TRIMESTRE IV]]</f>
        <v>586</v>
      </c>
      <c r="O671" s="39"/>
      <c r="P671" s="39"/>
      <c r="Q671" s="59"/>
    </row>
    <row r="672" spans="2:17" x14ac:dyDescent="0.2">
      <c r="B672" s="46">
        <v>503049</v>
      </c>
      <c r="C672" s="47" t="s">
        <v>523</v>
      </c>
      <c r="D672" s="48">
        <v>530</v>
      </c>
      <c r="E672" s="43" t="str">
        <f>IF(D672&lt;=0,"",VLOOKUP(D672,[1]FF!A:D,2,0))</f>
        <v>PARTICIPACIONES Ramo 28</v>
      </c>
      <c r="F672" s="37" t="s">
        <v>530</v>
      </c>
      <c r="G672" s="37" t="s">
        <v>458</v>
      </c>
      <c r="H672" s="49">
        <v>361001</v>
      </c>
      <c r="I672" s="44" t="str">
        <f>IF(H672&lt;=0,"",VLOOKUP(H672,[1]COG!A:H,2,0))</f>
        <v>Gastos de difusión</v>
      </c>
      <c r="J672" s="39">
        <v>349</v>
      </c>
      <c r="K672" s="39">
        <v>228</v>
      </c>
      <c r="L672" s="50"/>
      <c r="M672" s="50"/>
      <c r="N672" s="1">
        <f>Tabla5[[#This Row],[TRIMESTRE  I]]+Tabla5[[#This Row],[TRIMESTRE II]]+Tabla5[[#This Row],[TRIMESTRE III]]+Tabla5[[#This Row],[TRIMESTRE IV]]</f>
        <v>577</v>
      </c>
      <c r="O672" s="39"/>
      <c r="P672" s="39"/>
      <c r="Q672" s="59"/>
    </row>
    <row r="673" spans="2:17" x14ac:dyDescent="0.2">
      <c r="B673" s="46">
        <v>503049</v>
      </c>
      <c r="C673" s="47" t="s">
        <v>523</v>
      </c>
      <c r="D673" s="48">
        <v>530</v>
      </c>
      <c r="E673" s="43" t="str">
        <f>IF(D673&lt;=0,"",VLOOKUP(D673,[1]FF!A:D,2,0))</f>
        <v>PARTICIPACIONES Ramo 28</v>
      </c>
      <c r="F673" s="37" t="s">
        <v>530</v>
      </c>
      <c r="G673" s="37" t="s">
        <v>458</v>
      </c>
      <c r="H673" s="49">
        <v>361002</v>
      </c>
      <c r="I673" s="44" t="str">
        <f>IF(H673&lt;=0,"",VLOOKUP(H673,[1]COG!A:H,2,0))</f>
        <v>Impresiones y publicaciones oficiales</v>
      </c>
      <c r="J673" s="39">
        <v>41164</v>
      </c>
      <c r="K673" s="39">
        <v>36657</v>
      </c>
      <c r="L673" s="50"/>
      <c r="M673" s="50"/>
      <c r="N673" s="1">
        <f>Tabla5[[#This Row],[TRIMESTRE  I]]+Tabla5[[#This Row],[TRIMESTRE II]]+Tabla5[[#This Row],[TRIMESTRE III]]+Tabla5[[#This Row],[TRIMESTRE IV]]</f>
        <v>77821</v>
      </c>
      <c r="O673" s="39"/>
      <c r="P673" s="39"/>
      <c r="Q673" s="59"/>
    </row>
    <row r="674" spans="2:17" x14ac:dyDescent="0.2">
      <c r="B674" s="46">
        <v>503049</v>
      </c>
      <c r="C674" s="47" t="s">
        <v>523</v>
      </c>
      <c r="D674" s="48">
        <v>530</v>
      </c>
      <c r="E674" s="43" t="str">
        <f>IF(D674&lt;=0,"",VLOOKUP(D674,[1]FF!A:D,2,0))</f>
        <v>PARTICIPACIONES Ramo 28</v>
      </c>
      <c r="F674" s="37" t="s">
        <v>530</v>
      </c>
      <c r="G674" s="37" t="s">
        <v>458</v>
      </c>
      <c r="H674" s="49">
        <v>361003</v>
      </c>
      <c r="I674" s="44" t="str">
        <f>IF(H674&lt;=0,"",VLOOKUP(H674,[1]COG!A:H,2,0))</f>
        <v>Rotulaciones oficiales</v>
      </c>
      <c r="J674" s="39">
        <v>1068</v>
      </c>
      <c r="K674" s="39">
        <v>951</v>
      </c>
      <c r="L674" s="50"/>
      <c r="M674" s="50"/>
      <c r="N674" s="1">
        <f>Tabla5[[#This Row],[TRIMESTRE  I]]+Tabla5[[#This Row],[TRIMESTRE II]]+Tabla5[[#This Row],[TRIMESTRE III]]+Tabla5[[#This Row],[TRIMESTRE IV]]</f>
        <v>2019</v>
      </c>
      <c r="O674" s="39"/>
      <c r="P674" s="39"/>
      <c r="Q674" s="59"/>
    </row>
    <row r="675" spans="2:17" x14ac:dyDescent="0.2">
      <c r="B675" s="46">
        <v>503049</v>
      </c>
      <c r="C675" s="47" t="s">
        <v>523</v>
      </c>
      <c r="D675" s="48">
        <v>530</v>
      </c>
      <c r="E675" s="43" t="str">
        <f>IF(D675&lt;=0,"",VLOOKUP(D675,[1]FF!A:D,2,0))</f>
        <v>PARTICIPACIONES Ramo 28</v>
      </c>
      <c r="F675" s="37" t="s">
        <v>530</v>
      </c>
      <c r="G675" s="37" t="s">
        <v>458</v>
      </c>
      <c r="H675" s="49">
        <v>371001</v>
      </c>
      <c r="I675" s="44" t="str">
        <f>IF(H675&lt;=0,"",VLOOKUP(H675,[1]COG!A:H,2,0))</f>
        <v>Pasajes aéreos</v>
      </c>
      <c r="J675" s="39">
        <v>2119</v>
      </c>
      <c r="K675" s="39">
        <v>1886</v>
      </c>
      <c r="L675" s="50"/>
      <c r="M675" s="50"/>
      <c r="N675" s="1">
        <f>Tabla5[[#This Row],[TRIMESTRE  I]]+Tabla5[[#This Row],[TRIMESTRE II]]+Tabla5[[#This Row],[TRIMESTRE III]]+Tabla5[[#This Row],[TRIMESTRE IV]]</f>
        <v>4005</v>
      </c>
      <c r="O675" s="39"/>
      <c r="P675" s="39"/>
      <c r="Q675" s="59"/>
    </row>
    <row r="676" spans="2:17" x14ac:dyDescent="0.2">
      <c r="B676" s="46">
        <v>503049</v>
      </c>
      <c r="C676" s="47" t="s">
        <v>523</v>
      </c>
      <c r="D676" s="48">
        <v>530</v>
      </c>
      <c r="E676" s="43" t="str">
        <f>IF(D676&lt;=0,"",VLOOKUP(D676,[1]FF!A:D,2,0))</f>
        <v>PARTICIPACIONES Ramo 28</v>
      </c>
      <c r="F676" s="37" t="s">
        <v>530</v>
      </c>
      <c r="G676" s="37" t="s">
        <v>458</v>
      </c>
      <c r="H676" s="49">
        <v>375001</v>
      </c>
      <c r="I676" s="44" t="str">
        <f>IF(H676&lt;=0,"",VLOOKUP(H676,[1]COG!A:H,2,0))</f>
        <v>Viáticos</v>
      </c>
      <c r="J676" s="39">
        <v>389668.8</v>
      </c>
      <c r="K676" s="39">
        <v>556203</v>
      </c>
      <c r="L676" s="50"/>
      <c r="M676" s="50"/>
      <c r="N676" s="1">
        <f>Tabla5[[#This Row],[TRIMESTRE  I]]+Tabla5[[#This Row],[TRIMESTRE II]]+Tabla5[[#This Row],[TRIMESTRE III]]+Tabla5[[#This Row],[TRIMESTRE IV]]</f>
        <v>945871.8</v>
      </c>
      <c r="O676" s="39"/>
      <c r="P676" s="39"/>
      <c r="Q676" s="59"/>
    </row>
    <row r="677" spans="2:17" ht="18" x14ac:dyDescent="0.2">
      <c r="B677" s="46">
        <v>503049</v>
      </c>
      <c r="C677" s="47" t="s">
        <v>523</v>
      </c>
      <c r="D677" s="48">
        <v>530</v>
      </c>
      <c r="E677" s="43" t="str">
        <f>IF(D677&lt;=0,"",VLOOKUP(D677,[1]FF!A:D,2,0))</f>
        <v>PARTICIPACIONES Ramo 28</v>
      </c>
      <c r="F677" s="37" t="s">
        <v>530</v>
      </c>
      <c r="G677" s="37" t="s">
        <v>458</v>
      </c>
      <c r="H677" s="49">
        <v>382002</v>
      </c>
      <c r="I677" s="44" t="str">
        <f>IF(H677&lt;=0,"",VLOOKUP(H677,[1]COG!A:H,2,0))</f>
        <v>Gastos de recepción, conmemorativos y de orden social</v>
      </c>
      <c r="J677" s="39">
        <v>1311</v>
      </c>
      <c r="K677" s="39">
        <v>1167</v>
      </c>
      <c r="L677" s="50"/>
      <c r="M677" s="50"/>
      <c r="N677" s="1">
        <f>Tabla5[[#This Row],[TRIMESTRE  I]]+Tabla5[[#This Row],[TRIMESTRE II]]+Tabla5[[#This Row],[TRIMESTRE III]]+Tabla5[[#This Row],[TRIMESTRE IV]]</f>
        <v>2478</v>
      </c>
      <c r="O677" s="39"/>
      <c r="P677" s="39"/>
      <c r="Q677" s="59"/>
    </row>
    <row r="678" spans="2:17" x14ac:dyDescent="0.2">
      <c r="B678" s="46">
        <v>503049</v>
      </c>
      <c r="C678" s="47" t="s">
        <v>523</v>
      </c>
      <c r="D678" s="48">
        <v>530</v>
      </c>
      <c r="E678" s="43" t="str">
        <f>IF(D678&lt;=0,"",VLOOKUP(D678,[1]FF!A:D,2,0))</f>
        <v>PARTICIPACIONES Ramo 28</v>
      </c>
      <c r="F678" s="37" t="s">
        <v>530</v>
      </c>
      <c r="G678" s="37" t="s">
        <v>458</v>
      </c>
      <c r="H678" s="49">
        <v>395001</v>
      </c>
      <c r="I678" s="44" t="str">
        <f>IF(H678&lt;=0,"",VLOOKUP(H678,[1]COG!A:H,2,0))</f>
        <v>Penas, multas, accesorios y actualizaciones</v>
      </c>
      <c r="J678" s="39">
        <v>133875</v>
      </c>
      <c r="K678" s="39">
        <v>133875</v>
      </c>
      <c r="L678" s="50"/>
      <c r="M678" s="50"/>
      <c r="N678" s="1">
        <f>Tabla5[[#This Row],[TRIMESTRE  I]]+Tabla5[[#This Row],[TRIMESTRE II]]+Tabla5[[#This Row],[TRIMESTRE III]]+Tabla5[[#This Row],[TRIMESTRE IV]]</f>
        <v>267750</v>
      </c>
      <c r="O678" s="39"/>
      <c r="P678" s="39"/>
      <c r="Q678" s="59"/>
    </row>
    <row r="679" spans="2:17" x14ac:dyDescent="0.2">
      <c r="B679" s="46">
        <v>503049</v>
      </c>
      <c r="C679" s="47" t="s">
        <v>523</v>
      </c>
      <c r="D679" s="48">
        <v>530</v>
      </c>
      <c r="E679" s="43" t="str">
        <f>IF(D679&lt;=0,"",VLOOKUP(D679,[1]FF!A:D,2,0))</f>
        <v>PARTICIPACIONES Ramo 28</v>
      </c>
      <c r="F679" s="37" t="s">
        <v>530</v>
      </c>
      <c r="G679" s="37" t="s">
        <v>458</v>
      </c>
      <c r="H679" s="49">
        <v>399001</v>
      </c>
      <c r="I679" s="44" t="str">
        <f>IF(H679&lt;=0,"",VLOOKUP(H679,[1]COG!A:H,2,0))</f>
        <v>Gastos menores</v>
      </c>
      <c r="J679" s="39">
        <v>1841</v>
      </c>
      <c r="K679" s="39">
        <v>1641</v>
      </c>
      <c r="L679" s="50"/>
      <c r="M679" s="50"/>
      <c r="N679" s="1">
        <f>Tabla5[[#This Row],[TRIMESTRE  I]]+Tabla5[[#This Row],[TRIMESTRE II]]+Tabla5[[#This Row],[TRIMESTRE III]]+Tabla5[[#This Row],[TRIMESTRE IV]]</f>
        <v>3482</v>
      </c>
      <c r="O679" s="39"/>
      <c r="P679" s="39"/>
      <c r="Q679" s="59"/>
    </row>
    <row r="680" spans="2:17" ht="22.5" x14ac:dyDescent="0.2">
      <c r="B680" s="46">
        <v>503050</v>
      </c>
      <c r="C680" s="47" t="s">
        <v>523</v>
      </c>
      <c r="D680" s="48">
        <v>530</v>
      </c>
      <c r="E680" s="43" t="str">
        <f>IF(D680&lt;=0,"",VLOOKUP(D680,[1]FF!A:D,2,0))</f>
        <v>PARTICIPACIONES Ramo 28</v>
      </c>
      <c r="F680" s="37" t="s">
        <v>531</v>
      </c>
      <c r="G680" s="37" t="s">
        <v>458</v>
      </c>
      <c r="H680" s="49">
        <v>311001</v>
      </c>
      <c r="I680" s="44" t="str">
        <f>IF(H680&lt;=0,"",VLOOKUP(H680,[1]COG!A:H,2,0))</f>
        <v>Servicio de energía eléctrica</v>
      </c>
      <c r="J680" s="39">
        <v>53544</v>
      </c>
      <c r="K680" s="39">
        <v>56082</v>
      </c>
      <c r="L680" s="50"/>
      <c r="M680" s="50"/>
      <c r="N680" s="1">
        <f>Tabla5[[#This Row],[TRIMESTRE  I]]+Tabla5[[#This Row],[TRIMESTRE II]]+Tabla5[[#This Row],[TRIMESTRE III]]+Tabla5[[#This Row],[TRIMESTRE IV]]</f>
        <v>109626</v>
      </c>
      <c r="O680" s="39"/>
      <c r="P680" s="39"/>
      <c r="Q680" s="59"/>
    </row>
    <row r="681" spans="2:17" ht="22.5" x14ac:dyDescent="0.2">
      <c r="B681" s="46">
        <v>503050</v>
      </c>
      <c r="C681" s="47" t="s">
        <v>523</v>
      </c>
      <c r="D681" s="48">
        <v>530</v>
      </c>
      <c r="E681" s="42" t="str">
        <f>IF(D681&lt;=0,"",VLOOKUP(D681,[1]FF!A:D,2,0))</f>
        <v>PARTICIPACIONES Ramo 28</v>
      </c>
      <c r="F681" s="37" t="s">
        <v>531</v>
      </c>
      <c r="G681" s="37" t="s">
        <v>458</v>
      </c>
      <c r="H681" s="38">
        <v>313001</v>
      </c>
      <c r="I681" s="41" t="str">
        <f>IF(H681&lt;=0,"",VLOOKUP(H681,[1]COG!A:H,2,0))</f>
        <v>Servicio de agua potable</v>
      </c>
      <c r="J681" s="39">
        <v>53544</v>
      </c>
      <c r="K681" s="39">
        <v>53544</v>
      </c>
      <c r="L681" s="39"/>
      <c r="M681" s="39"/>
      <c r="N681" s="1">
        <f>Tabla5[[#This Row],[TRIMESTRE  I]]+Tabla5[[#This Row],[TRIMESTRE II]]+Tabla5[[#This Row],[TRIMESTRE III]]+Tabla5[[#This Row],[TRIMESTRE IV]]</f>
        <v>107088</v>
      </c>
      <c r="O681" s="39"/>
      <c r="P681" s="79"/>
      <c r="Q681" s="59"/>
    </row>
    <row r="682" spans="2:17" ht="22.5" x14ac:dyDescent="0.2">
      <c r="B682" s="46">
        <v>503050</v>
      </c>
      <c r="C682" s="47" t="s">
        <v>523</v>
      </c>
      <c r="D682" s="48">
        <v>530</v>
      </c>
      <c r="E682" s="42" t="str">
        <f>IF(D682&lt;=0,"",VLOOKUP(D682,[1]FF!A:D,2,0))</f>
        <v>PARTICIPACIONES Ramo 28</v>
      </c>
      <c r="F682" s="37" t="s">
        <v>531</v>
      </c>
      <c r="G682" s="37" t="s">
        <v>458</v>
      </c>
      <c r="H682" s="38">
        <v>314001</v>
      </c>
      <c r="I682" s="41" t="str">
        <f>IF(H682&lt;=0,"",VLOOKUP(H682,[1]COG!A:H,2,0))</f>
        <v>Servicio telefónico</v>
      </c>
      <c r="J682" s="39">
        <v>80071</v>
      </c>
      <c r="K682" s="39">
        <v>55893</v>
      </c>
      <c r="L682" s="39"/>
      <c r="M682" s="39"/>
      <c r="N682" s="1">
        <f>Tabla5[[#This Row],[TRIMESTRE  I]]+Tabla5[[#This Row],[TRIMESTRE II]]+Tabla5[[#This Row],[TRIMESTRE III]]+Tabla5[[#This Row],[TRIMESTRE IV]]</f>
        <v>135964</v>
      </c>
      <c r="O682" s="39"/>
      <c r="P682" s="79"/>
      <c r="Q682" s="59"/>
    </row>
    <row r="683" spans="2:17" ht="33" x14ac:dyDescent="0.2">
      <c r="B683" s="46">
        <v>503051</v>
      </c>
      <c r="C683" s="47" t="s">
        <v>523</v>
      </c>
      <c r="D683" s="48">
        <v>101</v>
      </c>
      <c r="E683" s="43" t="str">
        <f>IF(D683&lt;=0,"",VLOOKUP(D683,[1]FF!A:D,2,0))</f>
        <v>INGRESOS PROPIOS (IMPUESTOS, DERECHOS, PRODUCTOS Y APROVECHAMIENTOS)</v>
      </c>
      <c r="F683" s="37" t="s">
        <v>532</v>
      </c>
      <c r="G683" s="37" t="s">
        <v>458</v>
      </c>
      <c r="H683" s="49">
        <v>322001</v>
      </c>
      <c r="I683" s="44" t="str">
        <f>IF(H683&lt;=0,"",VLOOKUP(H683,[1]COG!A:H,2,0))</f>
        <v>Arrendamiento de edificios</v>
      </c>
      <c r="J683" s="39">
        <v>45789</v>
      </c>
      <c r="K683" s="39">
        <v>0</v>
      </c>
      <c r="L683" s="50"/>
      <c r="M683" s="50"/>
      <c r="N683" s="1">
        <f>Tabla5[[#This Row],[TRIMESTRE  I]]+Tabla5[[#This Row],[TRIMESTRE II]]+Tabla5[[#This Row],[TRIMESTRE III]]+Tabla5[[#This Row],[TRIMESTRE IV]]</f>
        <v>45789</v>
      </c>
      <c r="O683" s="39"/>
      <c r="P683" s="39"/>
      <c r="Q683" s="59"/>
    </row>
    <row r="684" spans="2:17" ht="22.5" x14ac:dyDescent="0.2">
      <c r="B684" s="46">
        <v>503051</v>
      </c>
      <c r="C684" s="47" t="s">
        <v>523</v>
      </c>
      <c r="D684" s="48">
        <v>530</v>
      </c>
      <c r="E684" s="42" t="str">
        <f>IF(D684&lt;=0,"",VLOOKUP(D684,[1]FF!A:D,2,0))</f>
        <v>PARTICIPACIONES Ramo 28</v>
      </c>
      <c r="F684" s="37" t="s">
        <v>532</v>
      </c>
      <c r="G684" s="37" t="s">
        <v>458</v>
      </c>
      <c r="H684" s="38">
        <v>311001</v>
      </c>
      <c r="I684" s="41" t="str">
        <f>IF(H684&lt;=0,"",VLOOKUP(H684,[1]COG!A:H,2,0))</f>
        <v>Servicio de energía eléctrica</v>
      </c>
      <c r="J684" s="39">
        <v>0</v>
      </c>
      <c r="K684" s="39">
        <v>73717</v>
      </c>
      <c r="L684" s="39"/>
      <c r="M684" s="39"/>
      <c r="N684" s="1">
        <f>Tabla5[[#This Row],[TRIMESTRE  I]]+Tabla5[[#This Row],[TRIMESTRE II]]+Tabla5[[#This Row],[TRIMESTRE III]]+Tabla5[[#This Row],[TRIMESTRE IV]]</f>
        <v>73717</v>
      </c>
      <c r="O684" s="39"/>
      <c r="P684" s="79"/>
      <c r="Q684" s="59"/>
    </row>
    <row r="685" spans="2:17" ht="22.5" x14ac:dyDescent="0.2">
      <c r="B685" s="46">
        <v>503051</v>
      </c>
      <c r="C685" s="47" t="s">
        <v>523</v>
      </c>
      <c r="D685" s="48">
        <v>530</v>
      </c>
      <c r="E685" s="42" t="str">
        <f>IF(D685&lt;=0,"",VLOOKUP(D685,[1]FF!A:D,2,0))</f>
        <v>PARTICIPACIONES Ramo 28</v>
      </c>
      <c r="F685" s="37" t="s">
        <v>532</v>
      </c>
      <c r="G685" s="37" t="s">
        <v>458</v>
      </c>
      <c r="H685" s="38">
        <v>313001</v>
      </c>
      <c r="I685" s="41" t="str">
        <f>IF(H685&lt;=0,"",VLOOKUP(H685,[1]COG!A:H,2,0))</f>
        <v>Servicio de agua potable</v>
      </c>
      <c r="J685" s="39">
        <v>555</v>
      </c>
      <c r="K685" s="39">
        <v>555</v>
      </c>
      <c r="L685" s="39"/>
      <c r="M685" s="39"/>
      <c r="N685" s="1">
        <f>Tabla5[[#This Row],[TRIMESTRE  I]]+Tabla5[[#This Row],[TRIMESTRE II]]+Tabla5[[#This Row],[TRIMESTRE III]]+Tabla5[[#This Row],[TRIMESTRE IV]]</f>
        <v>1110</v>
      </c>
      <c r="O685" s="39"/>
      <c r="P685" s="79"/>
      <c r="Q685" s="59"/>
    </row>
    <row r="686" spans="2:17" ht="22.5" x14ac:dyDescent="0.2">
      <c r="B686" s="46">
        <v>503051</v>
      </c>
      <c r="C686" s="47" t="s">
        <v>523</v>
      </c>
      <c r="D686" s="48">
        <v>530</v>
      </c>
      <c r="E686" s="42" t="str">
        <f>IF(D686&lt;=0,"",VLOOKUP(D686,[1]FF!A:D,2,0))</f>
        <v>PARTICIPACIONES Ramo 28</v>
      </c>
      <c r="F686" s="37" t="s">
        <v>532</v>
      </c>
      <c r="G686" s="37" t="s">
        <v>458</v>
      </c>
      <c r="H686" s="38">
        <v>314001</v>
      </c>
      <c r="I686" s="41" t="str">
        <f>IF(H686&lt;=0,"",VLOOKUP(H686,[1]COG!A:H,2,0))</f>
        <v>Servicio telefónico</v>
      </c>
      <c r="J686" s="39">
        <v>159135</v>
      </c>
      <c r="K686" s="39">
        <v>194620</v>
      </c>
      <c r="L686" s="39"/>
      <c r="M686" s="39"/>
      <c r="N686" s="1">
        <f>Tabla5[[#This Row],[TRIMESTRE  I]]+Tabla5[[#This Row],[TRIMESTRE II]]+Tabla5[[#This Row],[TRIMESTRE III]]+Tabla5[[#This Row],[TRIMESTRE IV]]</f>
        <v>353755</v>
      </c>
      <c r="O686" s="39"/>
      <c r="P686" s="79"/>
      <c r="Q686" s="59"/>
    </row>
    <row r="687" spans="2:17" ht="22.5" x14ac:dyDescent="0.2">
      <c r="B687" s="46">
        <v>503051</v>
      </c>
      <c r="C687" s="47" t="s">
        <v>523</v>
      </c>
      <c r="D687" s="48">
        <v>530</v>
      </c>
      <c r="E687" s="42" t="str">
        <f>IF(D687&lt;=0,"",VLOOKUP(D687,[1]FF!A:D,2,0))</f>
        <v>PARTICIPACIONES Ramo 28</v>
      </c>
      <c r="F687" s="37" t="s">
        <v>532</v>
      </c>
      <c r="G687" s="37" t="s">
        <v>458</v>
      </c>
      <c r="H687" s="38">
        <v>317001</v>
      </c>
      <c r="I687" s="41" t="str">
        <f>IF(H687&lt;=0,"",VLOOKUP(H687,[1]COG!A:H,2,0))</f>
        <v>Servicios de acceso de Internet, redes y procesamiento de información</v>
      </c>
      <c r="J687" s="39">
        <v>634884</v>
      </c>
      <c r="K687" s="39">
        <v>634884</v>
      </c>
      <c r="L687" s="39"/>
      <c r="M687" s="39"/>
      <c r="N687" s="1">
        <f>Tabla5[[#This Row],[TRIMESTRE  I]]+Tabla5[[#This Row],[TRIMESTRE II]]+Tabla5[[#This Row],[TRIMESTRE III]]+Tabla5[[#This Row],[TRIMESTRE IV]]</f>
        <v>1269768</v>
      </c>
      <c r="O687" s="39"/>
      <c r="P687" s="79"/>
      <c r="Q687" s="59"/>
    </row>
    <row r="688" spans="2:17" ht="22.5" x14ac:dyDescent="0.2">
      <c r="B688" s="46">
        <v>503051</v>
      </c>
      <c r="C688" s="47" t="s">
        <v>523</v>
      </c>
      <c r="D688" s="48">
        <v>530</v>
      </c>
      <c r="E688" s="42" t="str">
        <f>IF(D688&lt;=0,"",VLOOKUP(D688,[1]FF!A:D,2,0))</f>
        <v>PARTICIPACIONES Ramo 28</v>
      </c>
      <c r="F688" s="37" t="s">
        <v>532</v>
      </c>
      <c r="G688" s="37" t="s">
        <v>458</v>
      </c>
      <c r="H688" s="38">
        <v>322001</v>
      </c>
      <c r="I688" s="41" t="str">
        <f>IF(H688&lt;=0,"",VLOOKUP(H688,[1]COG!A:H,2,0))</f>
        <v>Arrendamiento de edificios</v>
      </c>
      <c r="J688" s="39">
        <v>1161310.08</v>
      </c>
      <c r="K688" s="39">
        <v>1042158</v>
      </c>
      <c r="L688" s="39"/>
      <c r="M688" s="39"/>
      <c r="N688" s="1">
        <f>Tabla5[[#This Row],[TRIMESTRE  I]]+Tabla5[[#This Row],[TRIMESTRE II]]+Tabla5[[#This Row],[TRIMESTRE III]]+Tabla5[[#This Row],[TRIMESTRE IV]]</f>
        <v>2203468.08</v>
      </c>
      <c r="O688" s="39"/>
      <c r="P688" s="79"/>
      <c r="Q688" s="59"/>
    </row>
    <row r="689" spans="2:17" ht="22.5" x14ac:dyDescent="0.2">
      <c r="B689" s="46">
        <v>503051</v>
      </c>
      <c r="C689" s="47" t="s">
        <v>523</v>
      </c>
      <c r="D689" s="48">
        <v>530</v>
      </c>
      <c r="E689" s="42" t="str">
        <f>IF(D689&lt;=0,"",VLOOKUP(D689,[1]FF!A:D,2,0))</f>
        <v>PARTICIPACIONES Ramo 28</v>
      </c>
      <c r="F689" s="37" t="s">
        <v>532</v>
      </c>
      <c r="G689" s="37" t="s">
        <v>458</v>
      </c>
      <c r="H689" s="38">
        <v>323001</v>
      </c>
      <c r="I689" s="41" t="str">
        <f>IF(H689&lt;=0,"",VLOOKUP(H689,[1]COG!A:H,2,0))</f>
        <v>Arrendamiento de maquinaria y equipo</v>
      </c>
      <c r="J689" s="39">
        <v>14757</v>
      </c>
      <c r="K689" s="39">
        <v>14757</v>
      </c>
      <c r="L689" s="39"/>
      <c r="M689" s="39"/>
      <c r="N689" s="1">
        <f>Tabla5[[#This Row],[TRIMESTRE  I]]+Tabla5[[#This Row],[TRIMESTRE II]]+Tabla5[[#This Row],[TRIMESTRE III]]+Tabla5[[#This Row],[TRIMESTRE IV]]</f>
        <v>29514</v>
      </c>
      <c r="O689" s="39"/>
      <c r="P689" s="79"/>
      <c r="Q689" s="59"/>
    </row>
    <row r="690" spans="2:17" ht="22.5" x14ac:dyDescent="0.2">
      <c r="B690" s="46">
        <v>503051</v>
      </c>
      <c r="C690" s="47" t="s">
        <v>523</v>
      </c>
      <c r="D690" s="48">
        <v>530</v>
      </c>
      <c r="E690" s="42" t="str">
        <f>IF(D690&lt;=0,"",VLOOKUP(D690,[1]FF!A:D,2,0))</f>
        <v>PARTICIPACIONES Ramo 28</v>
      </c>
      <c r="F690" s="37" t="s">
        <v>532</v>
      </c>
      <c r="G690" s="37" t="s">
        <v>458</v>
      </c>
      <c r="H690" s="38">
        <v>331001</v>
      </c>
      <c r="I690" s="41" t="str">
        <f>IF(H690&lt;=0,"",VLOOKUP(H690,[1]COG!A:H,2,0))</f>
        <v>Asesorías</v>
      </c>
      <c r="J690" s="39">
        <v>118425</v>
      </c>
      <c r="K690" s="39">
        <v>118425</v>
      </c>
      <c r="L690" s="39"/>
      <c r="M690" s="39"/>
      <c r="N690" s="1">
        <f>Tabla5[[#This Row],[TRIMESTRE  I]]+Tabla5[[#This Row],[TRIMESTRE II]]+Tabla5[[#This Row],[TRIMESTRE III]]+Tabla5[[#This Row],[TRIMESTRE IV]]</f>
        <v>236850</v>
      </c>
      <c r="O690" s="39"/>
      <c r="P690" s="79"/>
      <c r="Q690" s="59"/>
    </row>
    <row r="691" spans="2:17" ht="22.5" x14ac:dyDescent="0.2">
      <c r="B691" s="46">
        <v>503051</v>
      </c>
      <c r="C691" s="35" t="s">
        <v>523</v>
      </c>
      <c r="D691" s="36">
        <v>530</v>
      </c>
      <c r="E691" s="42" t="str">
        <f>IF(D691&lt;=0,"",VLOOKUP(D691,[1]FF!A:D,2,0))</f>
        <v>PARTICIPACIONES Ramo 28</v>
      </c>
      <c r="F691" s="37" t="s">
        <v>532</v>
      </c>
      <c r="G691" s="37" t="s">
        <v>458</v>
      </c>
      <c r="H691" s="38">
        <v>347001</v>
      </c>
      <c r="I691" s="41" t="str">
        <f>IF(H691&lt;=0,"",VLOOKUP(H691,[1]COG!A:H,2,0))</f>
        <v>Fletes, maniobras y almacenaje</v>
      </c>
      <c r="J691" s="39">
        <v>2096</v>
      </c>
      <c r="K691" s="39">
        <v>1867</v>
      </c>
      <c r="L691" s="39"/>
      <c r="M691" s="39"/>
      <c r="N691" s="1">
        <f>Tabla5[[#This Row],[TRIMESTRE  I]]+Tabla5[[#This Row],[TRIMESTRE II]]+Tabla5[[#This Row],[TRIMESTRE III]]+Tabla5[[#This Row],[TRIMESTRE IV]]</f>
        <v>3963</v>
      </c>
      <c r="O691" s="39"/>
      <c r="P691" s="79"/>
      <c r="Q691" s="59"/>
    </row>
    <row r="692" spans="2:17" ht="22.5" x14ac:dyDescent="0.2">
      <c r="B692" s="46">
        <v>503051</v>
      </c>
      <c r="C692" s="35" t="s">
        <v>523</v>
      </c>
      <c r="D692" s="36">
        <v>530</v>
      </c>
      <c r="E692" s="42" t="str">
        <f>IF(D692&lt;=0,"",VLOOKUP(D692,[1]FF!A:D,2,0))</f>
        <v>PARTICIPACIONES Ramo 28</v>
      </c>
      <c r="F692" s="37" t="s">
        <v>532</v>
      </c>
      <c r="G692" s="37" t="s">
        <v>458</v>
      </c>
      <c r="H692" s="38">
        <v>351001</v>
      </c>
      <c r="I692" s="41" t="str">
        <f>IF(H692&lt;=0,"",VLOOKUP(H692,[1]COG!A:H,2,0))</f>
        <v>Mantenimiento de inmuebles</v>
      </c>
      <c r="J692" s="39">
        <v>47028.480000000003</v>
      </c>
      <c r="K692" s="39">
        <v>2034</v>
      </c>
      <c r="L692" s="39"/>
      <c r="M692" s="39"/>
      <c r="N692" s="1">
        <f>Tabla5[[#This Row],[TRIMESTRE  I]]+Tabla5[[#This Row],[TRIMESTRE II]]+Tabla5[[#This Row],[TRIMESTRE III]]+Tabla5[[#This Row],[TRIMESTRE IV]]</f>
        <v>49062.48</v>
      </c>
      <c r="O692" s="39"/>
      <c r="P692" s="79"/>
      <c r="Q692" s="59"/>
    </row>
    <row r="693" spans="2:17" ht="22.5" x14ac:dyDescent="0.2">
      <c r="B693" s="46">
        <v>503051</v>
      </c>
      <c r="C693" s="35" t="s">
        <v>523</v>
      </c>
      <c r="D693" s="36">
        <v>530</v>
      </c>
      <c r="E693" s="42" t="str">
        <f>IF(D693&lt;=0,"",VLOOKUP(D693,[1]FF!A:D,2,0))</f>
        <v>PARTICIPACIONES Ramo 28</v>
      </c>
      <c r="F693" s="37" t="s">
        <v>532</v>
      </c>
      <c r="G693" s="37" t="s">
        <v>458</v>
      </c>
      <c r="H693" s="38">
        <v>352001</v>
      </c>
      <c r="I693" s="41" t="str">
        <f>IF(H693&lt;=0,"",VLOOKUP(H693,[1]COG!A:H,2,0))</f>
        <v>Mantenimiento de mobiliario y equipo</v>
      </c>
      <c r="J693" s="39">
        <v>1853</v>
      </c>
      <c r="K693" s="39">
        <v>1651</v>
      </c>
      <c r="L693" s="39"/>
      <c r="M693" s="39"/>
      <c r="N693" s="1">
        <f>Tabla5[[#This Row],[TRIMESTRE  I]]+Tabla5[[#This Row],[TRIMESTRE II]]+Tabla5[[#This Row],[TRIMESTRE III]]+Tabla5[[#This Row],[TRIMESTRE IV]]</f>
        <v>3504</v>
      </c>
      <c r="O693" s="39"/>
      <c r="P693" s="79"/>
      <c r="Q693" s="59"/>
    </row>
    <row r="694" spans="2:17" ht="27" x14ac:dyDescent="0.2">
      <c r="B694" s="46">
        <v>503051</v>
      </c>
      <c r="C694" s="35" t="s">
        <v>523</v>
      </c>
      <c r="D694" s="36">
        <v>530</v>
      </c>
      <c r="E694" s="42" t="str">
        <f>IF(D694&lt;=0,"",VLOOKUP(D694,[1]FF!A:D,2,0))</f>
        <v>PARTICIPACIONES Ramo 28</v>
      </c>
      <c r="F694" s="37" t="s">
        <v>532</v>
      </c>
      <c r="G694" s="37" t="s">
        <v>458</v>
      </c>
      <c r="H694" s="38">
        <v>355001</v>
      </c>
      <c r="I694" s="41" t="str">
        <f>IF(H694&lt;=0,"",VLOOKUP(H694,[1]COG!A:H,2,0))</f>
        <v>Mantto. y conservación de vehículos terrestres, aéreos, marítimos, lacustres y fluviales</v>
      </c>
      <c r="J694" s="39">
        <v>18085</v>
      </c>
      <c r="K694" s="39">
        <v>16105</v>
      </c>
      <c r="L694" s="39"/>
      <c r="M694" s="39"/>
      <c r="N694" s="1">
        <f>Tabla5[[#This Row],[TRIMESTRE  I]]+Tabla5[[#This Row],[TRIMESTRE II]]+Tabla5[[#This Row],[TRIMESTRE III]]+Tabla5[[#This Row],[TRIMESTRE IV]]</f>
        <v>34190</v>
      </c>
      <c r="O694" s="39"/>
      <c r="P694" s="79"/>
      <c r="Q694" s="59"/>
    </row>
    <row r="695" spans="2:17" ht="22.5" x14ac:dyDescent="0.2">
      <c r="B695" s="46">
        <v>503051</v>
      </c>
      <c r="C695" s="35" t="s">
        <v>523</v>
      </c>
      <c r="D695" s="36">
        <v>530</v>
      </c>
      <c r="E695" s="42" t="str">
        <f>IF(D695&lt;=0,"",VLOOKUP(D695,[1]FF!A:D,2,0))</f>
        <v>PARTICIPACIONES Ramo 28</v>
      </c>
      <c r="F695" s="37" t="s">
        <v>532</v>
      </c>
      <c r="G695" s="37" t="s">
        <v>458</v>
      </c>
      <c r="H695" s="38">
        <v>358001</v>
      </c>
      <c r="I695" s="41" t="str">
        <f>IF(H695&lt;=0,"",VLOOKUP(H695,[1]COG!A:H,2,0))</f>
        <v>Servicios de higiene y limpieza</v>
      </c>
      <c r="J695" s="39">
        <v>635</v>
      </c>
      <c r="K695" s="39">
        <v>566</v>
      </c>
      <c r="L695" s="39"/>
      <c r="M695" s="39"/>
      <c r="N695" s="1">
        <f>Tabla5[[#This Row],[TRIMESTRE  I]]+Tabla5[[#This Row],[TRIMESTRE II]]+Tabla5[[#This Row],[TRIMESTRE III]]+Tabla5[[#This Row],[TRIMESTRE IV]]</f>
        <v>1201</v>
      </c>
      <c r="O695" s="39"/>
      <c r="P695" s="79"/>
      <c r="Q695" s="59"/>
    </row>
    <row r="696" spans="2:17" ht="22.5" x14ac:dyDescent="0.2">
      <c r="B696" s="46">
        <v>503051</v>
      </c>
      <c r="C696" s="35" t="s">
        <v>523</v>
      </c>
      <c r="D696" s="36">
        <v>530</v>
      </c>
      <c r="E696" s="42" t="str">
        <f>IF(D696&lt;=0,"",VLOOKUP(D696,[1]FF!A:D,2,0))</f>
        <v>PARTICIPACIONES Ramo 28</v>
      </c>
      <c r="F696" s="37" t="s">
        <v>532</v>
      </c>
      <c r="G696" s="37" t="s">
        <v>458</v>
      </c>
      <c r="H696" s="38">
        <v>361002</v>
      </c>
      <c r="I696" s="41" t="str">
        <f>IF(H696&lt;=0,"",VLOOKUP(H696,[1]COG!A:H,2,0))</f>
        <v>Impresiones y publicaciones oficiales</v>
      </c>
      <c r="J696" s="39">
        <v>514</v>
      </c>
      <c r="K696" s="39">
        <v>457</v>
      </c>
      <c r="L696" s="39"/>
      <c r="M696" s="39"/>
      <c r="N696" s="1">
        <f>Tabla5[[#This Row],[TRIMESTRE  I]]+Tabla5[[#This Row],[TRIMESTRE II]]+Tabla5[[#This Row],[TRIMESTRE III]]+Tabla5[[#This Row],[TRIMESTRE IV]]</f>
        <v>971</v>
      </c>
      <c r="O696" s="39"/>
      <c r="P696" s="79"/>
      <c r="Q696" s="59"/>
    </row>
    <row r="697" spans="2:17" ht="22.5" x14ac:dyDescent="0.2">
      <c r="B697" s="46">
        <v>503051</v>
      </c>
      <c r="C697" s="35" t="s">
        <v>523</v>
      </c>
      <c r="D697" s="36">
        <v>530</v>
      </c>
      <c r="E697" s="42" t="str">
        <f>IF(D697&lt;=0,"",VLOOKUP(D697,[1]FF!A:D,2,0))</f>
        <v>PARTICIPACIONES Ramo 28</v>
      </c>
      <c r="F697" s="37" t="s">
        <v>532</v>
      </c>
      <c r="G697" s="37" t="s">
        <v>458</v>
      </c>
      <c r="H697" s="38">
        <v>371001</v>
      </c>
      <c r="I697" s="41" t="str">
        <f>IF(H697&lt;=0,"",VLOOKUP(H697,[1]COG!A:H,2,0))</f>
        <v>Pasajes aéreos</v>
      </c>
      <c r="J697" s="39">
        <v>0</v>
      </c>
      <c r="K697" s="39">
        <v>0</v>
      </c>
      <c r="L697" s="39"/>
      <c r="M697" s="39"/>
      <c r="N697" s="1">
        <f>Tabla5[[#This Row],[TRIMESTRE  I]]+Tabla5[[#This Row],[TRIMESTRE II]]+Tabla5[[#This Row],[TRIMESTRE III]]+Tabla5[[#This Row],[TRIMESTRE IV]]</f>
        <v>0</v>
      </c>
      <c r="O697" s="39"/>
      <c r="P697" s="79"/>
      <c r="Q697" s="59"/>
    </row>
    <row r="698" spans="2:17" ht="22.5" x14ac:dyDescent="0.2">
      <c r="B698" s="46">
        <v>503051</v>
      </c>
      <c r="C698" s="47" t="s">
        <v>523</v>
      </c>
      <c r="D698" s="48">
        <v>530</v>
      </c>
      <c r="E698" s="43" t="str">
        <f>IF(D698&lt;=0,"",VLOOKUP(D698,[1]FF!A:D,2,0))</f>
        <v>PARTICIPACIONES Ramo 28</v>
      </c>
      <c r="F698" s="37" t="s">
        <v>532</v>
      </c>
      <c r="G698" s="37" t="s">
        <v>458</v>
      </c>
      <c r="H698" s="49">
        <v>375001</v>
      </c>
      <c r="I698" s="44" t="str">
        <f>IF(H698&lt;=0,"",VLOOKUP(H698,[1]COG!A:H,2,0))</f>
        <v>Viáticos</v>
      </c>
      <c r="J698" s="39">
        <v>2341</v>
      </c>
      <c r="K698" s="39">
        <v>3066</v>
      </c>
      <c r="L698" s="50"/>
      <c r="M698" s="50"/>
      <c r="N698" s="1">
        <f>Tabla5[[#This Row],[TRIMESTRE  I]]+Tabla5[[#This Row],[TRIMESTRE II]]+Tabla5[[#This Row],[TRIMESTRE III]]+Tabla5[[#This Row],[TRIMESTRE IV]]</f>
        <v>5407</v>
      </c>
      <c r="O698" s="39"/>
      <c r="P698" s="39"/>
      <c r="Q698" s="59"/>
    </row>
    <row r="699" spans="2:17" ht="22.5" x14ac:dyDescent="0.2">
      <c r="B699" s="46">
        <v>503051</v>
      </c>
      <c r="C699" s="47" t="s">
        <v>523</v>
      </c>
      <c r="D699" s="48">
        <v>530</v>
      </c>
      <c r="E699" s="43" t="str">
        <f>IF(D699&lt;=0,"",VLOOKUP(D699,[1]FF!A:D,2,0))</f>
        <v>PARTICIPACIONES Ramo 28</v>
      </c>
      <c r="F699" s="37" t="s">
        <v>532</v>
      </c>
      <c r="G699" s="37" t="s">
        <v>458</v>
      </c>
      <c r="H699" s="49">
        <v>382002</v>
      </c>
      <c r="I699" s="44" t="str">
        <f>IF(H699&lt;=0,"",VLOOKUP(H699,[1]COG!A:H,2,0))</f>
        <v>Gastos de recepción, conmemorativos y de orden social</v>
      </c>
      <c r="J699" s="39">
        <v>0</v>
      </c>
      <c r="K699" s="39">
        <v>0</v>
      </c>
      <c r="L699" s="50"/>
      <c r="M699" s="50"/>
      <c r="N699" s="1">
        <f>Tabla5[[#This Row],[TRIMESTRE  I]]+Tabla5[[#This Row],[TRIMESTRE II]]+Tabla5[[#This Row],[TRIMESTRE III]]+Tabla5[[#This Row],[TRIMESTRE IV]]</f>
        <v>0</v>
      </c>
      <c r="O699" s="39"/>
      <c r="P699" s="39"/>
      <c r="Q699" s="59"/>
    </row>
    <row r="700" spans="2:17" ht="22.5" x14ac:dyDescent="0.2">
      <c r="B700" s="46">
        <v>503051</v>
      </c>
      <c r="C700" s="47" t="s">
        <v>523</v>
      </c>
      <c r="D700" s="48">
        <v>530</v>
      </c>
      <c r="E700" s="43" t="str">
        <f>IF(D700&lt;=0,"",VLOOKUP(D700,[1]FF!A:D,2,0))</f>
        <v>PARTICIPACIONES Ramo 28</v>
      </c>
      <c r="F700" s="37" t="s">
        <v>532</v>
      </c>
      <c r="G700" s="37" t="s">
        <v>458</v>
      </c>
      <c r="H700" s="49">
        <v>399001</v>
      </c>
      <c r="I700" s="44" t="str">
        <f>IF(H700&lt;=0,"",VLOOKUP(H700,[1]COG!A:H,2,0))</f>
        <v>Gastos menores</v>
      </c>
      <c r="J700" s="39">
        <v>3691</v>
      </c>
      <c r="K700" s="39">
        <v>3288</v>
      </c>
      <c r="L700" s="50"/>
      <c r="M700" s="50"/>
      <c r="N700" s="1">
        <f>Tabla5[[#This Row],[TRIMESTRE  I]]+Tabla5[[#This Row],[TRIMESTRE II]]+Tabla5[[#This Row],[TRIMESTRE III]]+Tabla5[[#This Row],[TRIMESTRE IV]]</f>
        <v>6979</v>
      </c>
      <c r="O700" s="39"/>
      <c r="P700" s="39"/>
      <c r="Q700" s="59"/>
    </row>
    <row r="701" spans="2:17" ht="22.5" x14ac:dyDescent="0.2">
      <c r="B701" s="46">
        <v>504057</v>
      </c>
      <c r="C701" s="47" t="s">
        <v>523</v>
      </c>
      <c r="D701" s="48">
        <v>530</v>
      </c>
      <c r="E701" s="43" t="str">
        <f>IF(D701&lt;=0,"",VLOOKUP(D701,[1]FF!A:D,2,0))</f>
        <v>PARTICIPACIONES Ramo 28</v>
      </c>
      <c r="F701" s="37" t="s">
        <v>538</v>
      </c>
      <c r="G701" s="37" t="s">
        <v>458</v>
      </c>
      <c r="H701" s="49">
        <v>311001</v>
      </c>
      <c r="I701" s="44" t="str">
        <f>IF(H701&lt;=0,"",VLOOKUP(H701,[1]COG!A:H,2,0))</f>
        <v>Servicio de energía eléctrica</v>
      </c>
      <c r="J701" s="39">
        <v>65168</v>
      </c>
      <c r="K701" s="39">
        <v>25145</v>
      </c>
      <c r="L701" s="50"/>
      <c r="M701" s="50"/>
      <c r="N701" s="1">
        <f>Tabla5[[#This Row],[TRIMESTRE  I]]+Tabla5[[#This Row],[TRIMESTRE II]]+Tabla5[[#This Row],[TRIMESTRE III]]+Tabla5[[#This Row],[TRIMESTRE IV]]</f>
        <v>90313</v>
      </c>
      <c r="O701" s="39"/>
      <c r="P701" s="39"/>
      <c r="Q701" s="59"/>
    </row>
    <row r="702" spans="2:17" ht="22.5" x14ac:dyDescent="0.2">
      <c r="B702" s="46">
        <v>504057</v>
      </c>
      <c r="C702" s="47" t="s">
        <v>523</v>
      </c>
      <c r="D702" s="48">
        <v>530</v>
      </c>
      <c r="E702" s="43" t="str">
        <f>IF(D702&lt;=0,"",VLOOKUP(D702,[1]FF!A:D,2,0))</f>
        <v>PARTICIPACIONES Ramo 28</v>
      </c>
      <c r="F702" s="37" t="s">
        <v>538</v>
      </c>
      <c r="G702" s="37" t="s">
        <v>458</v>
      </c>
      <c r="H702" s="49">
        <v>313001</v>
      </c>
      <c r="I702" s="44" t="str">
        <f>IF(H702&lt;=0,"",VLOOKUP(H702,[1]COG!A:H,2,0))</f>
        <v>Servicio de agua potable</v>
      </c>
      <c r="J702" s="39">
        <v>14277</v>
      </c>
      <c r="K702" s="39">
        <v>14277</v>
      </c>
      <c r="L702" s="50"/>
      <c r="M702" s="50"/>
      <c r="N702" s="1">
        <f>Tabla5[[#This Row],[TRIMESTRE  I]]+Tabla5[[#This Row],[TRIMESTRE II]]+Tabla5[[#This Row],[TRIMESTRE III]]+Tabla5[[#This Row],[TRIMESTRE IV]]</f>
        <v>28554</v>
      </c>
      <c r="O702" s="39"/>
      <c r="P702" s="39"/>
      <c r="Q702" s="59"/>
    </row>
    <row r="703" spans="2:17" ht="22.5" x14ac:dyDescent="0.2">
      <c r="B703" s="46">
        <v>504057</v>
      </c>
      <c r="C703" s="47" t="s">
        <v>523</v>
      </c>
      <c r="D703" s="48">
        <v>530</v>
      </c>
      <c r="E703" s="43" t="str">
        <f>IF(D703&lt;=0,"",VLOOKUP(D703,[1]FF!A:D,2,0))</f>
        <v>PARTICIPACIONES Ramo 28</v>
      </c>
      <c r="F703" s="37" t="s">
        <v>538</v>
      </c>
      <c r="G703" s="37" t="s">
        <v>458</v>
      </c>
      <c r="H703" s="49">
        <v>314001</v>
      </c>
      <c r="I703" s="44" t="str">
        <f>IF(H703&lt;=0,"",VLOOKUP(H703,[1]COG!A:H,2,0))</f>
        <v>Servicio telefónico</v>
      </c>
      <c r="J703" s="39">
        <v>31074</v>
      </c>
      <c r="K703" s="39">
        <v>20327</v>
      </c>
      <c r="L703" s="50"/>
      <c r="M703" s="50"/>
      <c r="N703" s="1">
        <f>Tabla5[[#This Row],[TRIMESTRE  I]]+Tabla5[[#This Row],[TRIMESTRE II]]+Tabla5[[#This Row],[TRIMESTRE III]]+Tabla5[[#This Row],[TRIMESTRE IV]]</f>
        <v>51401</v>
      </c>
      <c r="O703" s="39"/>
      <c r="P703" s="39"/>
      <c r="Q703" s="59"/>
    </row>
    <row r="704" spans="2:17" ht="22.5" x14ac:dyDescent="0.2">
      <c r="B704" s="46">
        <v>504057</v>
      </c>
      <c r="C704" s="47" t="s">
        <v>523</v>
      </c>
      <c r="D704" s="48">
        <v>530</v>
      </c>
      <c r="E704" s="43" t="str">
        <f>IF(D704&lt;=0,"",VLOOKUP(D704,[1]FF!A:D,2,0))</f>
        <v>PARTICIPACIONES Ramo 28</v>
      </c>
      <c r="F704" s="37" t="s">
        <v>538</v>
      </c>
      <c r="G704" s="37" t="s">
        <v>458</v>
      </c>
      <c r="H704" s="49">
        <v>318001</v>
      </c>
      <c r="I704" s="44" t="str">
        <f>IF(H704&lt;=0,"",VLOOKUP(H704,[1]COG!A:H,2,0))</f>
        <v>Servicio postal y telegráfico</v>
      </c>
      <c r="J704" s="39">
        <v>40500</v>
      </c>
      <c r="K704" s="39">
        <v>40500</v>
      </c>
      <c r="L704" s="50"/>
      <c r="M704" s="50"/>
      <c r="N704" s="1">
        <f>Tabla5[[#This Row],[TRIMESTRE  I]]+Tabla5[[#This Row],[TRIMESTRE II]]+Tabla5[[#This Row],[TRIMESTRE III]]+Tabla5[[#This Row],[TRIMESTRE IV]]</f>
        <v>81000</v>
      </c>
      <c r="O704" s="39"/>
      <c r="P704" s="39"/>
      <c r="Q704" s="59"/>
    </row>
    <row r="705" spans="2:17" ht="22.5" x14ac:dyDescent="0.2">
      <c r="B705" s="46">
        <v>504057</v>
      </c>
      <c r="C705" s="47" t="s">
        <v>523</v>
      </c>
      <c r="D705" s="48">
        <v>530</v>
      </c>
      <c r="E705" s="43" t="str">
        <f>IF(D705&lt;=0,"",VLOOKUP(D705,[1]FF!A:D,2,0))</f>
        <v>PARTICIPACIONES Ramo 28</v>
      </c>
      <c r="F705" s="37" t="s">
        <v>538</v>
      </c>
      <c r="G705" s="37" t="s">
        <v>458</v>
      </c>
      <c r="H705" s="49">
        <v>322001</v>
      </c>
      <c r="I705" s="44" t="str">
        <f>IF(H705&lt;=0,"",VLOOKUP(H705,[1]COG!A:H,2,0))</f>
        <v>Arrendamiento de edificios</v>
      </c>
      <c r="J705" s="39">
        <v>168048</v>
      </c>
      <c r="K705" s="39">
        <v>168048</v>
      </c>
      <c r="L705" s="50"/>
      <c r="M705" s="50"/>
      <c r="N705" s="1">
        <f>Tabla5[[#This Row],[TRIMESTRE  I]]+Tabla5[[#This Row],[TRIMESTRE II]]+Tabla5[[#This Row],[TRIMESTRE III]]+Tabla5[[#This Row],[TRIMESTRE IV]]</f>
        <v>336096</v>
      </c>
      <c r="O705" s="39"/>
      <c r="P705" s="39"/>
      <c r="Q705" s="59"/>
    </row>
    <row r="706" spans="2:17" ht="22.5" x14ac:dyDescent="0.2">
      <c r="B706" s="46">
        <v>504057</v>
      </c>
      <c r="C706" s="47" t="s">
        <v>523</v>
      </c>
      <c r="D706" s="48">
        <v>530</v>
      </c>
      <c r="E706" s="43" t="str">
        <f>IF(D706&lt;=0,"",VLOOKUP(D706,[1]FF!A:D,2,0))</f>
        <v>PARTICIPACIONES Ramo 28</v>
      </c>
      <c r="F706" s="37" t="s">
        <v>538</v>
      </c>
      <c r="G706" s="37" t="s">
        <v>458</v>
      </c>
      <c r="H706" s="49">
        <v>323001</v>
      </c>
      <c r="I706" s="44" t="str">
        <f>IF(H706&lt;=0,"",VLOOKUP(H706,[1]COG!A:H,2,0))</f>
        <v>Arrendamiento de maquinaria y equipo</v>
      </c>
      <c r="J706" s="39">
        <v>29943</v>
      </c>
      <c r="K706" s="39">
        <v>29944</v>
      </c>
      <c r="L706" s="50"/>
      <c r="M706" s="50"/>
      <c r="N706" s="1">
        <f>Tabla5[[#This Row],[TRIMESTRE  I]]+Tabla5[[#This Row],[TRIMESTRE II]]+Tabla5[[#This Row],[TRIMESTRE III]]+Tabla5[[#This Row],[TRIMESTRE IV]]</f>
        <v>59887</v>
      </c>
      <c r="O706" s="39"/>
      <c r="P706" s="39"/>
      <c r="Q706" s="59"/>
    </row>
    <row r="707" spans="2:17" ht="22.5" x14ac:dyDescent="0.2">
      <c r="B707" s="46">
        <v>504057</v>
      </c>
      <c r="C707" s="47" t="s">
        <v>523</v>
      </c>
      <c r="D707" s="48">
        <v>530</v>
      </c>
      <c r="E707" s="43" t="str">
        <f>IF(D707&lt;=0,"",VLOOKUP(D707,[1]FF!A:D,2,0))</f>
        <v>PARTICIPACIONES Ramo 28</v>
      </c>
      <c r="F707" s="37" t="s">
        <v>538</v>
      </c>
      <c r="G707" s="37" t="s">
        <v>458</v>
      </c>
      <c r="H707" s="49">
        <v>331001</v>
      </c>
      <c r="I707" s="44" t="str">
        <f>IF(H707&lt;=0,"",VLOOKUP(H707,[1]COG!A:H,2,0))</f>
        <v>Asesorías</v>
      </c>
      <c r="J707" s="39">
        <v>45648</v>
      </c>
      <c r="K707" s="39">
        <v>45648</v>
      </c>
      <c r="L707" s="50"/>
      <c r="M707" s="50"/>
      <c r="N707" s="1">
        <f>Tabla5[[#This Row],[TRIMESTRE  I]]+Tabla5[[#This Row],[TRIMESTRE II]]+Tabla5[[#This Row],[TRIMESTRE III]]+Tabla5[[#This Row],[TRIMESTRE IV]]</f>
        <v>91296</v>
      </c>
      <c r="O707" s="39"/>
      <c r="P707" s="39"/>
      <c r="Q707" s="59"/>
    </row>
    <row r="708" spans="2:17" ht="27" x14ac:dyDescent="0.2">
      <c r="B708" s="46">
        <v>504057</v>
      </c>
      <c r="C708" s="47" t="s">
        <v>523</v>
      </c>
      <c r="D708" s="48">
        <v>530</v>
      </c>
      <c r="E708" s="43" t="str">
        <f>IF(D708&lt;=0,"",VLOOKUP(D708,[1]FF!A:D,2,0))</f>
        <v>PARTICIPACIONES Ramo 28</v>
      </c>
      <c r="F708" s="37" t="s">
        <v>538</v>
      </c>
      <c r="G708" s="37" t="s">
        <v>458</v>
      </c>
      <c r="H708" s="49">
        <v>333003</v>
      </c>
      <c r="I708" s="44" t="str">
        <f>IF(H708&lt;=0,"",VLOOKUP(H708,[1]COG!A:H,2,0))</f>
        <v>Servicios de consultoría administrativa, procesos, técnica y en tecnologías de la información</v>
      </c>
      <c r="J708" s="39">
        <v>52828</v>
      </c>
      <c r="K708" s="39">
        <v>55213</v>
      </c>
      <c r="L708" s="50"/>
      <c r="M708" s="50"/>
      <c r="N708" s="1">
        <f>Tabla5[[#This Row],[TRIMESTRE  I]]+Tabla5[[#This Row],[TRIMESTRE II]]+Tabla5[[#This Row],[TRIMESTRE III]]+Tabla5[[#This Row],[TRIMESTRE IV]]</f>
        <v>108041</v>
      </c>
      <c r="O708" s="39"/>
      <c r="P708" s="39"/>
      <c r="Q708" s="59"/>
    </row>
    <row r="709" spans="2:17" ht="22.5" x14ac:dyDescent="0.2">
      <c r="B709" s="46">
        <v>504057</v>
      </c>
      <c r="C709" s="47" t="s">
        <v>523</v>
      </c>
      <c r="D709" s="48">
        <v>530</v>
      </c>
      <c r="E709" s="43" t="str">
        <f>IF(D709&lt;=0,"",VLOOKUP(D709,[1]FF!A:D,2,0))</f>
        <v>PARTICIPACIONES Ramo 28</v>
      </c>
      <c r="F709" s="37" t="s">
        <v>538</v>
      </c>
      <c r="G709" s="37" t="s">
        <v>458</v>
      </c>
      <c r="H709" s="49">
        <v>334001</v>
      </c>
      <c r="I709" s="44" t="str">
        <f>IF(H709&lt;=0,"",VLOOKUP(H709,[1]COG!A:H,2,0))</f>
        <v>Cuotas e inscripciones</v>
      </c>
      <c r="J709" s="39">
        <v>11659</v>
      </c>
      <c r="K709" s="39">
        <v>2214</v>
      </c>
      <c r="L709" s="50"/>
      <c r="M709" s="50"/>
      <c r="N709" s="1">
        <f>Tabla5[[#This Row],[TRIMESTRE  I]]+Tabla5[[#This Row],[TRIMESTRE II]]+Tabla5[[#This Row],[TRIMESTRE III]]+Tabla5[[#This Row],[TRIMESTRE IV]]</f>
        <v>13873</v>
      </c>
      <c r="O709" s="39"/>
      <c r="P709" s="39"/>
      <c r="Q709" s="59"/>
    </row>
    <row r="710" spans="2:17" ht="22.5" x14ac:dyDescent="0.2">
      <c r="B710" s="46">
        <v>504057</v>
      </c>
      <c r="C710" s="47" t="s">
        <v>523</v>
      </c>
      <c r="D710" s="48">
        <v>530</v>
      </c>
      <c r="E710" s="43" t="str">
        <f>IF(D710&lt;=0,"",VLOOKUP(D710,[1]FF!A:D,2,0))</f>
        <v>PARTICIPACIONES Ramo 28</v>
      </c>
      <c r="F710" s="37" t="s">
        <v>538</v>
      </c>
      <c r="G710" s="37" t="s">
        <v>458</v>
      </c>
      <c r="H710" s="49">
        <v>347001</v>
      </c>
      <c r="I710" s="44" t="str">
        <f>IF(H710&lt;=0,"",VLOOKUP(H710,[1]COG!A:H,2,0))</f>
        <v>Fletes, maniobras y almacenaje</v>
      </c>
      <c r="J710" s="39">
        <v>686</v>
      </c>
      <c r="K710" s="39">
        <v>611</v>
      </c>
      <c r="L710" s="50"/>
      <c r="M710" s="50"/>
      <c r="N710" s="1">
        <f>Tabla5[[#This Row],[TRIMESTRE  I]]+Tabla5[[#This Row],[TRIMESTRE II]]+Tabla5[[#This Row],[TRIMESTRE III]]+Tabla5[[#This Row],[TRIMESTRE IV]]</f>
        <v>1297</v>
      </c>
      <c r="O710" s="39"/>
      <c r="P710" s="39"/>
      <c r="Q710" s="59"/>
    </row>
    <row r="711" spans="2:17" ht="22.5" x14ac:dyDescent="0.2">
      <c r="B711" s="46">
        <v>504057</v>
      </c>
      <c r="C711" s="47" t="s">
        <v>523</v>
      </c>
      <c r="D711" s="48">
        <v>530</v>
      </c>
      <c r="E711" s="43" t="str">
        <f>IF(D711&lt;=0,"",VLOOKUP(D711,[1]FF!A:D,2,0))</f>
        <v>PARTICIPACIONES Ramo 28</v>
      </c>
      <c r="F711" s="37" t="s">
        <v>538</v>
      </c>
      <c r="G711" s="37" t="s">
        <v>458</v>
      </c>
      <c r="H711" s="49">
        <v>351001</v>
      </c>
      <c r="I711" s="44" t="str">
        <f>IF(H711&lt;=0,"",VLOOKUP(H711,[1]COG!A:H,2,0))</f>
        <v>Mantenimiento de inmuebles</v>
      </c>
      <c r="J711" s="39">
        <v>12174</v>
      </c>
      <c r="K711" s="39">
        <v>10842</v>
      </c>
      <c r="L711" s="50"/>
      <c r="M711" s="50"/>
      <c r="N711" s="1">
        <f>Tabla5[[#This Row],[TRIMESTRE  I]]+Tabla5[[#This Row],[TRIMESTRE II]]+Tabla5[[#This Row],[TRIMESTRE III]]+Tabla5[[#This Row],[TRIMESTRE IV]]</f>
        <v>23016</v>
      </c>
      <c r="O711" s="39"/>
      <c r="P711" s="39"/>
      <c r="Q711" s="59"/>
    </row>
    <row r="712" spans="2:17" ht="22.5" x14ac:dyDescent="0.2">
      <c r="B712" s="46">
        <v>504057</v>
      </c>
      <c r="C712" s="47" t="s">
        <v>523</v>
      </c>
      <c r="D712" s="48">
        <v>530</v>
      </c>
      <c r="E712" s="43" t="str">
        <f>IF(D712&lt;=0,"",VLOOKUP(D712,[1]FF!A:D,2,0))</f>
        <v>PARTICIPACIONES Ramo 28</v>
      </c>
      <c r="F712" s="37" t="s">
        <v>538</v>
      </c>
      <c r="G712" s="37" t="s">
        <v>458</v>
      </c>
      <c r="H712" s="49">
        <v>352001</v>
      </c>
      <c r="I712" s="44" t="str">
        <f>IF(H712&lt;=0,"",VLOOKUP(H712,[1]COG!A:H,2,0))</f>
        <v>Mantenimiento de mobiliario y equipo</v>
      </c>
      <c r="J712" s="39">
        <v>18599</v>
      </c>
      <c r="K712" s="39">
        <v>18377</v>
      </c>
      <c r="L712" s="50"/>
      <c r="M712" s="50"/>
      <c r="N712" s="1">
        <f>Tabla5[[#This Row],[TRIMESTRE  I]]+Tabla5[[#This Row],[TRIMESTRE II]]+Tabla5[[#This Row],[TRIMESTRE III]]+Tabla5[[#This Row],[TRIMESTRE IV]]</f>
        <v>36976</v>
      </c>
      <c r="O712" s="39"/>
      <c r="P712" s="39"/>
      <c r="Q712" s="59"/>
    </row>
    <row r="713" spans="2:17" ht="27" x14ac:dyDescent="0.2">
      <c r="B713" s="46">
        <v>504057</v>
      </c>
      <c r="C713" s="47" t="s">
        <v>523</v>
      </c>
      <c r="D713" s="48">
        <v>530</v>
      </c>
      <c r="E713" s="43" t="str">
        <f>IF(D713&lt;=0,"",VLOOKUP(D713,[1]FF!A:D,2,0))</f>
        <v>PARTICIPACIONES Ramo 28</v>
      </c>
      <c r="F713" s="37" t="s">
        <v>538</v>
      </c>
      <c r="G713" s="37" t="s">
        <v>458</v>
      </c>
      <c r="H713" s="49">
        <v>355001</v>
      </c>
      <c r="I713" s="44" t="str">
        <f>IF(H713&lt;=0,"",VLOOKUP(H713,[1]COG!A:H,2,0))</f>
        <v>Mantto. y conservación de vehículos terrestres, aéreos, marítimos, lacustres y fluviales</v>
      </c>
      <c r="J713" s="39">
        <v>93864</v>
      </c>
      <c r="K713" s="39">
        <v>93864</v>
      </c>
      <c r="L713" s="50"/>
      <c r="M713" s="50"/>
      <c r="N713" s="1">
        <f>Tabla5[[#This Row],[TRIMESTRE  I]]+Tabla5[[#This Row],[TRIMESTRE II]]+Tabla5[[#This Row],[TRIMESTRE III]]+Tabla5[[#This Row],[TRIMESTRE IV]]</f>
        <v>187728</v>
      </c>
      <c r="O713" s="39"/>
      <c r="P713" s="39"/>
      <c r="Q713" s="59"/>
    </row>
    <row r="714" spans="2:17" ht="22.5" x14ac:dyDescent="0.2">
      <c r="B714" s="46">
        <v>504057</v>
      </c>
      <c r="C714" s="47" t="s">
        <v>523</v>
      </c>
      <c r="D714" s="48">
        <v>530</v>
      </c>
      <c r="E714" s="43" t="str">
        <f>IF(D714&lt;=0,"",VLOOKUP(D714,[1]FF!A:D,2,0))</f>
        <v>PARTICIPACIONES Ramo 28</v>
      </c>
      <c r="F714" s="37" t="s">
        <v>538</v>
      </c>
      <c r="G714" s="37" t="s">
        <v>458</v>
      </c>
      <c r="H714" s="49">
        <v>371001</v>
      </c>
      <c r="I714" s="44" t="str">
        <f>IF(H714&lt;=0,"",VLOOKUP(H714,[1]COG!A:H,2,0))</f>
        <v>Pasajes aéreos</v>
      </c>
      <c r="J714" s="39">
        <v>49897.64</v>
      </c>
      <c r="K714" s="39">
        <v>66981</v>
      </c>
      <c r="L714" s="50"/>
      <c r="M714" s="50"/>
      <c r="N714" s="1">
        <f>Tabla5[[#This Row],[TRIMESTRE  I]]+Tabla5[[#This Row],[TRIMESTRE II]]+Tabla5[[#This Row],[TRIMESTRE III]]+Tabla5[[#This Row],[TRIMESTRE IV]]</f>
        <v>116878.64</v>
      </c>
      <c r="O714" s="39"/>
      <c r="P714" s="39"/>
      <c r="Q714" s="59"/>
    </row>
    <row r="715" spans="2:17" ht="22.5" x14ac:dyDescent="0.2">
      <c r="B715" s="46">
        <v>504057</v>
      </c>
      <c r="C715" s="47" t="s">
        <v>523</v>
      </c>
      <c r="D715" s="48">
        <v>530</v>
      </c>
      <c r="E715" s="43" t="str">
        <f>IF(D715&lt;=0,"",VLOOKUP(D715,[1]FF!A:D,2,0))</f>
        <v>PARTICIPACIONES Ramo 28</v>
      </c>
      <c r="F715" s="37" t="s">
        <v>538</v>
      </c>
      <c r="G715" s="37" t="s">
        <v>458</v>
      </c>
      <c r="H715" s="49">
        <v>375001</v>
      </c>
      <c r="I715" s="44" t="str">
        <f>IF(H715&lt;=0,"",VLOOKUP(H715,[1]COG!A:H,2,0))</f>
        <v>Viáticos</v>
      </c>
      <c r="J715" s="39">
        <v>74828.960000000006</v>
      </c>
      <c r="K715" s="39">
        <v>69132</v>
      </c>
      <c r="L715" s="50"/>
      <c r="M715" s="50"/>
      <c r="N715" s="1">
        <f>Tabla5[[#This Row],[TRIMESTRE  I]]+Tabla5[[#This Row],[TRIMESTRE II]]+Tabla5[[#This Row],[TRIMESTRE III]]+Tabla5[[#This Row],[TRIMESTRE IV]]</f>
        <v>143960.96000000002</v>
      </c>
      <c r="O715" s="39"/>
      <c r="P715" s="39"/>
      <c r="Q715" s="59"/>
    </row>
    <row r="716" spans="2:17" ht="22.5" x14ac:dyDescent="0.2">
      <c r="B716" s="46">
        <v>504057</v>
      </c>
      <c r="C716" s="47" t="s">
        <v>523</v>
      </c>
      <c r="D716" s="48">
        <v>530</v>
      </c>
      <c r="E716" s="43" t="str">
        <f>IF(D716&lt;=0,"",VLOOKUP(D716,[1]FF!A:D,2,0))</f>
        <v>PARTICIPACIONES Ramo 28</v>
      </c>
      <c r="F716" s="37" t="s">
        <v>538</v>
      </c>
      <c r="G716" s="37" t="s">
        <v>458</v>
      </c>
      <c r="H716" s="49">
        <v>382002</v>
      </c>
      <c r="I716" s="44" t="str">
        <f>IF(H716&lt;=0,"",VLOOKUP(H716,[1]COG!A:H,2,0))</f>
        <v>Gastos de recepción, conmemorativos y de orden social</v>
      </c>
      <c r="J716" s="39">
        <v>3239</v>
      </c>
      <c r="K716" s="39">
        <v>2884</v>
      </c>
      <c r="L716" s="50"/>
      <c r="M716" s="50"/>
      <c r="N716" s="1">
        <f>Tabla5[[#This Row],[TRIMESTRE  I]]+Tabla5[[#This Row],[TRIMESTRE II]]+Tabla5[[#This Row],[TRIMESTRE III]]+Tabla5[[#This Row],[TRIMESTRE IV]]</f>
        <v>6123</v>
      </c>
      <c r="O716" s="39"/>
      <c r="P716" s="39"/>
      <c r="Q716" s="59"/>
    </row>
    <row r="717" spans="2:17" ht="22.5" x14ac:dyDescent="0.2">
      <c r="B717" s="46">
        <v>504057</v>
      </c>
      <c r="C717" s="47" t="s">
        <v>523</v>
      </c>
      <c r="D717" s="48">
        <v>530</v>
      </c>
      <c r="E717" s="43" t="str">
        <f>IF(D717&lt;=0,"",VLOOKUP(D717,[1]FF!A:D,2,0))</f>
        <v>PARTICIPACIONES Ramo 28</v>
      </c>
      <c r="F717" s="37" t="s">
        <v>538</v>
      </c>
      <c r="G717" s="37" t="s">
        <v>458</v>
      </c>
      <c r="H717" s="49">
        <v>392001</v>
      </c>
      <c r="I717" s="44" t="str">
        <f>IF(H717&lt;=0,"",VLOOKUP(H717,[1]COG!A:H,2,0))</f>
        <v>Impuestos y derechos</v>
      </c>
      <c r="J717" s="39">
        <v>98175</v>
      </c>
      <c r="K717" s="39">
        <v>98175</v>
      </c>
      <c r="L717" s="50"/>
      <c r="M717" s="50"/>
      <c r="N717" s="1">
        <f>Tabla5[[#This Row],[TRIMESTRE  I]]+Tabla5[[#This Row],[TRIMESTRE II]]+Tabla5[[#This Row],[TRIMESTRE III]]+Tabla5[[#This Row],[TRIMESTRE IV]]</f>
        <v>196350</v>
      </c>
      <c r="O717" s="39"/>
      <c r="P717" s="39"/>
      <c r="Q717" s="59"/>
    </row>
    <row r="718" spans="2:17" ht="22.5" x14ac:dyDescent="0.2">
      <c r="B718" s="46">
        <v>504057</v>
      </c>
      <c r="C718" s="47" t="s">
        <v>523</v>
      </c>
      <c r="D718" s="48">
        <v>530</v>
      </c>
      <c r="E718" s="43" t="str">
        <f>IF(D718&lt;=0,"",VLOOKUP(D718,[1]FF!A:D,2,0))</f>
        <v>PARTICIPACIONES Ramo 28</v>
      </c>
      <c r="F718" s="37" t="s">
        <v>538</v>
      </c>
      <c r="G718" s="37" t="s">
        <v>458</v>
      </c>
      <c r="H718" s="49">
        <v>399001</v>
      </c>
      <c r="I718" s="44" t="str">
        <f>IF(H718&lt;=0,"",VLOOKUP(H718,[1]COG!A:H,2,0))</f>
        <v>Gastos menores</v>
      </c>
      <c r="J718" s="39">
        <v>1441</v>
      </c>
      <c r="K718" s="39">
        <v>1282</v>
      </c>
      <c r="L718" s="50"/>
      <c r="M718" s="50"/>
      <c r="N718" s="1">
        <f>Tabla5[[#This Row],[TRIMESTRE  I]]+Tabla5[[#This Row],[TRIMESTRE II]]+Tabla5[[#This Row],[TRIMESTRE III]]+Tabla5[[#This Row],[TRIMESTRE IV]]</f>
        <v>2723</v>
      </c>
      <c r="O718" s="39"/>
      <c r="P718" s="39"/>
      <c r="Q718" s="59"/>
    </row>
    <row r="719" spans="2:17" ht="33.75" x14ac:dyDescent="0.2">
      <c r="B719" s="46">
        <v>504058</v>
      </c>
      <c r="C719" s="47" t="s">
        <v>523</v>
      </c>
      <c r="D719" s="48">
        <v>530</v>
      </c>
      <c r="E719" s="43" t="str">
        <f>IF(D719&lt;=0,"",VLOOKUP(D719,[1]FF!A:D,2,0))</f>
        <v>PARTICIPACIONES Ramo 28</v>
      </c>
      <c r="F719" s="37" t="s">
        <v>567</v>
      </c>
      <c r="G719" s="37" t="s">
        <v>458</v>
      </c>
      <c r="H719" s="49">
        <v>311001</v>
      </c>
      <c r="I719" s="44" t="str">
        <f>IF(H719&lt;=0,"",VLOOKUP(H719,[1]COG!A:H,2,0))</f>
        <v>Servicio de energía eléctrica</v>
      </c>
      <c r="J719" s="39">
        <v>0</v>
      </c>
      <c r="K719" s="39">
        <v>35508</v>
      </c>
      <c r="L719" s="50"/>
      <c r="M719" s="50"/>
      <c r="N719" s="1">
        <f>Tabla5[[#This Row],[TRIMESTRE  I]]+Tabla5[[#This Row],[TRIMESTRE II]]+Tabla5[[#This Row],[TRIMESTRE III]]+Tabla5[[#This Row],[TRIMESTRE IV]]</f>
        <v>35508</v>
      </c>
      <c r="O719" s="39"/>
      <c r="P719" s="39"/>
      <c r="Q719" s="59"/>
    </row>
    <row r="720" spans="2:17" ht="33.75" x14ac:dyDescent="0.2">
      <c r="B720" s="46">
        <v>504058</v>
      </c>
      <c r="C720" s="47" t="s">
        <v>523</v>
      </c>
      <c r="D720" s="48">
        <v>530</v>
      </c>
      <c r="E720" s="43" t="str">
        <f>IF(D720&lt;=0,"",VLOOKUP(D720,[1]FF!A:D,2,0))</f>
        <v>PARTICIPACIONES Ramo 28</v>
      </c>
      <c r="F720" s="37" t="s">
        <v>567</v>
      </c>
      <c r="G720" s="37" t="s">
        <v>458</v>
      </c>
      <c r="H720" s="49">
        <v>331001</v>
      </c>
      <c r="I720" s="44" t="str">
        <f>IF(H720&lt;=0,"",VLOOKUP(H720,[1]COG!A:H,2,0))</f>
        <v>Asesorías</v>
      </c>
      <c r="J720" s="39">
        <v>76938</v>
      </c>
      <c r="K720" s="39">
        <v>76938</v>
      </c>
      <c r="L720" s="50"/>
      <c r="M720" s="50"/>
      <c r="N720" s="1">
        <f>Tabla5[[#This Row],[TRIMESTRE  I]]+Tabla5[[#This Row],[TRIMESTRE II]]+Tabla5[[#This Row],[TRIMESTRE III]]+Tabla5[[#This Row],[TRIMESTRE IV]]</f>
        <v>153876</v>
      </c>
      <c r="O720" s="39"/>
      <c r="P720" s="39"/>
      <c r="Q720" s="59"/>
    </row>
    <row r="721" spans="2:17" ht="33.75" x14ac:dyDescent="0.2">
      <c r="B721" s="46">
        <v>504058</v>
      </c>
      <c r="C721" s="47" t="s">
        <v>523</v>
      </c>
      <c r="D721" s="48">
        <v>530</v>
      </c>
      <c r="E721" s="43" t="str">
        <f>IF(D721&lt;=0,"",VLOOKUP(D721,[1]FF!A:D,2,0))</f>
        <v>PARTICIPACIONES Ramo 28</v>
      </c>
      <c r="F721" s="37" t="s">
        <v>567</v>
      </c>
      <c r="G721" s="37" t="s">
        <v>458</v>
      </c>
      <c r="H721" s="49">
        <v>333001</v>
      </c>
      <c r="I721" s="44" t="str">
        <f>IF(H721&lt;=0,"",VLOOKUP(H721,[1]COG!A:H,2,0))</f>
        <v>Estudios e investigaciones</v>
      </c>
      <c r="J721" s="39">
        <v>1275</v>
      </c>
      <c r="K721" s="39">
        <v>1135</v>
      </c>
      <c r="L721" s="50"/>
      <c r="M721" s="50"/>
      <c r="N721" s="1">
        <f>Tabla5[[#This Row],[TRIMESTRE  I]]+Tabla5[[#This Row],[TRIMESTRE II]]+Tabla5[[#This Row],[TRIMESTRE III]]+Tabla5[[#This Row],[TRIMESTRE IV]]</f>
        <v>2410</v>
      </c>
      <c r="O721" s="39"/>
      <c r="P721" s="39"/>
      <c r="Q721" s="59"/>
    </row>
    <row r="722" spans="2:17" ht="33.75" x14ac:dyDescent="0.2">
      <c r="B722" s="46">
        <v>504058</v>
      </c>
      <c r="C722" s="47" t="s">
        <v>523</v>
      </c>
      <c r="D722" s="48">
        <v>530</v>
      </c>
      <c r="E722" s="43" t="str">
        <f>IF(D722&lt;=0,"",VLOOKUP(D722,[1]FF!A:D,2,0))</f>
        <v>PARTICIPACIONES Ramo 28</v>
      </c>
      <c r="F722" s="37" t="s">
        <v>567</v>
      </c>
      <c r="G722" s="37" t="s">
        <v>458</v>
      </c>
      <c r="H722" s="49">
        <v>355001</v>
      </c>
      <c r="I722" s="44" t="str">
        <f>IF(H722&lt;=0,"",VLOOKUP(H722,[1]COG!A:H,2,0))</f>
        <v>Mantto. y conservación de vehículos terrestres, aéreos, marítimos, lacustres y fluviales</v>
      </c>
      <c r="J722" s="39">
        <v>641</v>
      </c>
      <c r="K722" s="39">
        <v>570</v>
      </c>
      <c r="L722" s="50"/>
      <c r="M722" s="50"/>
      <c r="N722" s="1">
        <f>Tabla5[[#This Row],[TRIMESTRE  I]]+Tabla5[[#This Row],[TRIMESTRE II]]+Tabla5[[#This Row],[TRIMESTRE III]]+Tabla5[[#This Row],[TRIMESTRE IV]]</f>
        <v>1211</v>
      </c>
      <c r="O722" s="39"/>
      <c r="P722" s="39"/>
      <c r="Q722" s="59"/>
    </row>
    <row r="723" spans="2:17" ht="33.75" x14ac:dyDescent="0.2">
      <c r="B723" s="46">
        <v>504058</v>
      </c>
      <c r="C723" s="47" t="s">
        <v>523</v>
      </c>
      <c r="D723" s="48">
        <v>530</v>
      </c>
      <c r="E723" s="43" t="str">
        <f>IF(D723&lt;=0,"",VLOOKUP(D723,[1]FF!A:D,2,0))</f>
        <v>PARTICIPACIONES Ramo 28</v>
      </c>
      <c r="F723" s="37" t="s">
        <v>567</v>
      </c>
      <c r="G723" s="37" t="s">
        <v>458</v>
      </c>
      <c r="H723" s="49">
        <v>375001</v>
      </c>
      <c r="I723" s="44" t="str">
        <f>IF(H723&lt;=0,"",VLOOKUP(H723,[1]COG!A:H,2,0))</f>
        <v>Viáticos</v>
      </c>
      <c r="J723" s="39">
        <v>264</v>
      </c>
      <c r="K723" s="39">
        <v>88</v>
      </c>
      <c r="L723" s="50"/>
      <c r="M723" s="50"/>
      <c r="N723" s="1">
        <f>Tabla5[[#This Row],[TRIMESTRE  I]]+Tabla5[[#This Row],[TRIMESTRE II]]+Tabla5[[#This Row],[TRIMESTRE III]]+Tabla5[[#This Row],[TRIMESTRE IV]]</f>
        <v>352</v>
      </c>
      <c r="O723" s="39"/>
      <c r="P723" s="39"/>
      <c r="Q723" s="59"/>
    </row>
    <row r="724" spans="2:17" ht="45" x14ac:dyDescent="0.2">
      <c r="B724" s="46">
        <v>505059</v>
      </c>
      <c r="C724" s="47" t="s">
        <v>523</v>
      </c>
      <c r="D724" s="48">
        <v>530</v>
      </c>
      <c r="E724" s="43" t="str">
        <f>IF(D724&lt;=0,"",VLOOKUP(D724,[1]FF!A:D,2,0))</f>
        <v>PARTICIPACIONES Ramo 28</v>
      </c>
      <c r="F724" s="37" t="s">
        <v>568</v>
      </c>
      <c r="G724" s="37" t="s">
        <v>458</v>
      </c>
      <c r="H724" s="49">
        <v>314001</v>
      </c>
      <c r="I724" s="44" t="str">
        <f>IF(H724&lt;=0,"",VLOOKUP(H724,[1]COG!A:H,2,0))</f>
        <v>Servicio telefónico</v>
      </c>
      <c r="J724" s="39">
        <v>4770</v>
      </c>
      <c r="K724" s="39">
        <v>8630</v>
      </c>
      <c r="L724" s="50"/>
      <c r="M724" s="50"/>
      <c r="N724" s="1">
        <f>Tabla5[[#This Row],[TRIMESTRE  I]]+Tabla5[[#This Row],[TRIMESTRE II]]+Tabla5[[#This Row],[TRIMESTRE III]]+Tabla5[[#This Row],[TRIMESTRE IV]]</f>
        <v>13400</v>
      </c>
      <c r="O724" s="39"/>
      <c r="P724" s="39"/>
      <c r="Q724" s="59"/>
    </row>
    <row r="725" spans="2:17" ht="45" x14ac:dyDescent="0.2">
      <c r="B725" s="46">
        <v>505059</v>
      </c>
      <c r="C725" s="47" t="s">
        <v>523</v>
      </c>
      <c r="D725" s="48">
        <v>530</v>
      </c>
      <c r="E725" s="43" t="str">
        <f>IF(D725&lt;=0,"",VLOOKUP(D725,[1]FF!A:D,2,0))</f>
        <v>PARTICIPACIONES Ramo 28</v>
      </c>
      <c r="F725" s="37" t="s">
        <v>568</v>
      </c>
      <c r="G725" s="37" t="s">
        <v>458</v>
      </c>
      <c r="H725" s="49">
        <v>323001</v>
      </c>
      <c r="I725" s="44" t="str">
        <f>IF(H725&lt;=0,"",VLOOKUP(H725,[1]COG!A:H,2,0))</f>
        <v>Arrendamiento de maquinaria y equipo</v>
      </c>
      <c r="J725" s="39">
        <v>495</v>
      </c>
      <c r="K725" s="39">
        <v>495</v>
      </c>
      <c r="L725" s="50"/>
      <c r="M725" s="50"/>
      <c r="N725" s="1">
        <f>Tabla5[[#This Row],[TRIMESTRE  I]]+Tabla5[[#This Row],[TRIMESTRE II]]+Tabla5[[#This Row],[TRIMESTRE III]]+Tabla5[[#This Row],[TRIMESTRE IV]]</f>
        <v>990</v>
      </c>
      <c r="O725" s="39"/>
      <c r="P725" s="39"/>
      <c r="Q725" s="59"/>
    </row>
    <row r="726" spans="2:17" ht="45" x14ac:dyDescent="0.2">
      <c r="B726" s="46">
        <v>505059</v>
      </c>
      <c r="C726" s="47" t="s">
        <v>523</v>
      </c>
      <c r="D726" s="48">
        <v>530</v>
      </c>
      <c r="E726" s="43" t="str">
        <f>IF(D726&lt;=0,"",VLOOKUP(D726,[1]FF!A:D,2,0))</f>
        <v>PARTICIPACIONES Ramo 28</v>
      </c>
      <c r="F726" s="37" t="s">
        <v>568</v>
      </c>
      <c r="G726" s="37" t="s">
        <v>458</v>
      </c>
      <c r="H726" s="49">
        <v>355001</v>
      </c>
      <c r="I726" s="44" t="str">
        <f>IF(H726&lt;=0,"",VLOOKUP(H726,[1]COG!A:H,2,0))</f>
        <v>Mantto. y conservación de vehículos terrestres, aéreos, marítimos, lacustres y fluviales</v>
      </c>
      <c r="J726" s="39">
        <v>1381</v>
      </c>
      <c r="K726" s="39">
        <v>1230</v>
      </c>
      <c r="L726" s="50"/>
      <c r="M726" s="50"/>
      <c r="N726" s="1">
        <f>Tabla5[[#This Row],[TRIMESTRE  I]]+Tabla5[[#This Row],[TRIMESTRE II]]+Tabla5[[#This Row],[TRIMESTRE III]]+Tabla5[[#This Row],[TRIMESTRE IV]]</f>
        <v>2611</v>
      </c>
      <c r="O726" s="39"/>
      <c r="P726" s="39"/>
      <c r="Q726" s="59"/>
    </row>
    <row r="727" spans="2:17" ht="45" x14ac:dyDescent="0.2">
      <c r="B727" s="46">
        <v>505059</v>
      </c>
      <c r="C727" s="47" t="s">
        <v>523</v>
      </c>
      <c r="D727" s="48">
        <v>530</v>
      </c>
      <c r="E727" s="43" t="str">
        <f>IF(D727&lt;=0,"",VLOOKUP(D727,[1]FF!A:D,2,0))</f>
        <v>PARTICIPACIONES Ramo 28</v>
      </c>
      <c r="F727" s="37" t="s">
        <v>568</v>
      </c>
      <c r="G727" s="37" t="s">
        <v>458</v>
      </c>
      <c r="H727" s="49">
        <v>361002</v>
      </c>
      <c r="I727" s="44" t="str">
        <f>IF(H727&lt;=0,"",VLOOKUP(H727,[1]COG!A:H,2,0))</f>
        <v>Impresiones y publicaciones oficiales</v>
      </c>
      <c r="J727" s="39">
        <v>1305</v>
      </c>
      <c r="K727" s="39">
        <v>1161</v>
      </c>
      <c r="L727" s="50"/>
      <c r="M727" s="50"/>
      <c r="N727" s="1">
        <f>Tabla5[[#This Row],[TRIMESTRE  I]]+Tabla5[[#This Row],[TRIMESTRE II]]+Tabla5[[#This Row],[TRIMESTRE III]]+Tabla5[[#This Row],[TRIMESTRE IV]]</f>
        <v>2466</v>
      </c>
      <c r="O727" s="39"/>
      <c r="P727" s="39"/>
      <c r="Q727" s="59"/>
    </row>
    <row r="728" spans="2:17" ht="45" x14ac:dyDescent="0.2">
      <c r="B728" s="46">
        <v>505059</v>
      </c>
      <c r="C728" s="47" t="s">
        <v>523</v>
      </c>
      <c r="D728" s="48">
        <v>530</v>
      </c>
      <c r="E728" s="43" t="str">
        <f>IF(D728&lt;=0,"",VLOOKUP(D728,[1]FF!A:D,2,0))</f>
        <v>PARTICIPACIONES Ramo 28</v>
      </c>
      <c r="F728" s="37" t="s">
        <v>568</v>
      </c>
      <c r="G728" s="37" t="s">
        <v>458</v>
      </c>
      <c r="H728" s="49">
        <v>371001</v>
      </c>
      <c r="I728" s="44" t="str">
        <f>IF(H728&lt;=0,"",VLOOKUP(H728,[1]COG!A:H,2,0))</f>
        <v>Pasajes aéreos</v>
      </c>
      <c r="J728" s="39">
        <v>322</v>
      </c>
      <c r="K728" s="39">
        <v>211</v>
      </c>
      <c r="L728" s="50"/>
      <c r="M728" s="50"/>
      <c r="N728" s="1">
        <f>Tabla5[[#This Row],[TRIMESTRE  I]]+Tabla5[[#This Row],[TRIMESTRE II]]+Tabla5[[#This Row],[TRIMESTRE III]]+Tabla5[[#This Row],[TRIMESTRE IV]]</f>
        <v>533</v>
      </c>
      <c r="O728" s="39"/>
      <c r="P728" s="39"/>
      <c r="Q728" s="59"/>
    </row>
    <row r="729" spans="2:17" ht="45" x14ac:dyDescent="0.2">
      <c r="B729" s="46">
        <v>505060</v>
      </c>
      <c r="C729" s="47" t="s">
        <v>523</v>
      </c>
      <c r="D729" s="48">
        <v>530</v>
      </c>
      <c r="E729" s="43" t="str">
        <f>IF(D729&lt;=0,"",VLOOKUP(D729,[1]FF!A:D,2,0))</f>
        <v>PARTICIPACIONES Ramo 28</v>
      </c>
      <c r="F729" s="37" t="s">
        <v>541</v>
      </c>
      <c r="G729" s="37" t="s">
        <v>458</v>
      </c>
      <c r="H729" s="49">
        <v>323001</v>
      </c>
      <c r="I729" s="44" t="str">
        <f>IF(H729&lt;=0,"",VLOOKUP(H729,[1]COG!A:H,2,0))</f>
        <v>Arrendamiento de maquinaria y equipo</v>
      </c>
      <c r="J729" s="39">
        <v>1407</v>
      </c>
      <c r="K729" s="39">
        <v>1407</v>
      </c>
      <c r="L729" s="50"/>
      <c r="M729" s="50"/>
      <c r="N729" s="1">
        <f>Tabla5[[#This Row],[TRIMESTRE  I]]+Tabla5[[#This Row],[TRIMESTRE II]]+Tabla5[[#This Row],[TRIMESTRE III]]+Tabla5[[#This Row],[TRIMESTRE IV]]</f>
        <v>2814</v>
      </c>
      <c r="O729" s="39"/>
      <c r="P729" s="39"/>
      <c r="Q729" s="59"/>
    </row>
    <row r="730" spans="2:17" ht="45" x14ac:dyDescent="0.2">
      <c r="B730" s="46">
        <v>505060</v>
      </c>
      <c r="C730" s="47" t="s">
        <v>523</v>
      </c>
      <c r="D730" s="48">
        <v>530</v>
      </c>
      <c r="E730" s="43" t="str">
        <f>IF(D730&lt;=0,"",VLOOKUP(D730,[1]FF!A:D,2,0))</f>
        <v>PARTICIPACIONES Ramo 28</v>
      </c>
      <c r="F730" s="37" t="s">
        <v>541</v>
      </c>
      <c r="G730" s="37" t="s">
        <v>458</v>
      </c>
      <c r="H730" s="49">
        <v>336001</v>
      </c>
      <c r="I730" s="44" t="str">
        <f>IF(H730&lt;=0,"",VLOOKUP(H730,[1]COG!A:H,2,0))</f>
        <v>Servicio de Fotocopiado, Enmicado y Encuadernación de Documentos.</v>
      </c>
      <c r="J730" s="39">
        <v>77502</v>
      </c>
      <c r="K730" s="39">
        <v>69015</v>
      </c>
      <c r="L730" s="50"/>
      <c r="M730" s="50"/>
      <c r="N730" s="1">
        <f>Tabla5[[#This Row],[TRIMESTRE  I]]+Tabla5[[#This Row],[TRIMESTRE II]]+Tabla5[[#This Row],[TRIMESTRE III]]+Tabla5[[#This Row],[TRIMESTRE IV]]</f>
        <v>146517</v>
      </c>
      <c r="O730" s="39"/>
      <c r="P730" s="39"/>
      <c r="Q730" s="59"/>
    </row>
    <row r="731" spans="2:17" ht="45" x14ac:dyDescent="0.2">
      <c r="B731" s="46">
        <v>505060</v>
      </c>
      <c r="C731" s="47" t="s">
        <v>523</v>
      </c>
      <c r="D731" s="48">
        <v>530</v>
      </c>
      <c r="E731" s="43" t="str">
        <f>IF(D731&lt;=0,"",VLOOKUP(D731,[1]FF!A:D,2,0))</f>
        <v>PARTICIPACIONES Ramo 28</v>
      </c>
      <c r="F731" s="37" t="s">
        <v>541</v>
      </c>
      <c r="G731" s="37" t="s">
        <v>458</v>
      </c>
      <c r="H731" s="49">
        <v>352001</v>
      </c>
      <c r="I731" s="44" t="str">
        <f>IF(H731&lt;=0,"",VLOOKUP(H731,[1]COG!A:H,2,0))</f>
        <v>Mantenimiento de mobiliario y equipo</v>
      </c>
      <c r="J731" s="39">
        <v>586</v>
      </c>
      <c r="K731" s="39">
        <v>521</v>
      </c>
      <c r="L731" s="50"/>
      <c r="M731" s="50"/>
      <c r="N731" s="1">
        <f>Tabla5[[#This Row],[TRIMESTRE  I]]+Tabla5[[#This Row],[TRIMESTRE II]]+Tabla5[[#This Row],[TRIMESTRE III]]+Tabla5[[#This Row],[TRIMESTRE IV]]</f>
        <v>1107</v>
      </c>
      <c r="O731" s="39"/>
      <c r="P731" s="39"/>
      <c r="Q731" s="59"/>
    </row>
    <row r="732" spans="2:17" ht="45" x14ac:dyDescent="0.2">
      <c r="B732" s="46">
        <v>505060</v>
      </c>
      <c r="C732" s="47" t="s">
        <v>523</v>
      </c>
      <c r="D732" s="48">
        <v>530</v>
      </c>
      <c r="E732" s="43" t="str">
        <f>IF(D732&lt;=0,"",VLOOKUP(D732,[1]FF!A:D,2,0))</f>
        <v>PARTICIPACIONES Ramo 28</v>
      </c>
      <c r="F732" s="37" t="s">
        <v>541</v>
      </c>
      <c r="G732" s="37" t="s">
        <v>458</v>
      </c>
      <c r="H732" s="49">
        <v>355001</v>
      </c>
      <c r="I732" s="44" t="str">
        <f>IF(H732&lt;=0,"",VLOOKUP(H732,[1]COG!A:H,2,0))</f>
        <v>Mantto. y conservación de vehículos terrestres, aéreos, marítimos, lacustres y fluviales</v>
      </c>
      <c r="J732" s="39">
        <v>3991</v>
      </c>
      <c r="K732" s="39">
        <v>3554</v>
      </c>
      <c r="L732" s="50"/>
      <c r="M732" s="50"/>
      <c r="N732" s="1">
        <f>Tabla5[[#This Row],[TRIMESTRE  I]]+Tabla5[[#This Row],[TRIMESTRE II]]+Tabla5[[#This Row],[TRIMESTRE III]]+Tabla5[[#This Row],[TRIMESTRE IV]]</f>
        <v>7545</v>
      </c>
      <c r="O732" s="39"/>
      <c r="P732" s="39"/>
      <c r="Q732" s="59"/>
    </row>
    <row r="733" spans="2:17" ht="45" x14ac:dyDescent="0.2">
      <c r="B733" s="46">
        <v>505060</v>
      </c>
      <c r="C733" s="47" t="s">
        <v>523</v>
      </c>
      <c r="D733" s="48">
        <v>530</v>
      </c>
      <c r="E733" s="43" t="str">
        <f>IF(D733&lt;=0,"",VLOOKUP(D733,[1]FF!A:D,2,0))</f>
        <v>PARTICIPACIONES Ramo 28</v>
      </c>
      <c r="F733" s="37" t="s">
        <v>541</v>
      </c>
      <c r="G733" s="37" t="s">
        <v>458</v>
      </c>
      <c r="H733" s="49">
        <v>358001</v>
      </c>
      <c r="I733" s="44" t="str">
        <f>IF(H733&lt;=0,"",VLOOKUP(H733,[1]COG!A:H,2,0))</f>
        <v>Servicios de higiene y limpieza</v>
      </c>
      <c r="J733" s="39">
        <v>785</v>
      </c>
      <c r="K733" s="39">
        <v>699</v>
      </c>
      <c r="L733" s="50"/>
      <c r="M733" s="50"/>
      <c r="N733" s="1">
        <f>Tabla5[[#This Row],[TRIMESTRE  I]]+Tabla5[[#This Row],[TRIMESTRE II]]+Tabla5[[#This Row],[TRIMESTRE III]]+Tabla5[[#This Row],[TRIMESTRE IV]]</f>
        <v>1484</v>
      </c>
      <c r="O733" s="39"/>
      <c r="P733" s="39"/>
      <c r="Q733" s="59"/>
    </row>
    <row r="734" spans="2:17" ht="45" x14ac:dyDescent="0.2">
      <c r="B734" s="46">
        <v>505060</v>
      </c>
      <c r="C734" s="47" t="s">
        <v>523</v>
      </c>
      <c r="D734" s="48">
        <v>530</v>
      </c>
      <c r="E734" s="43" t="str">
        <f>IF(D734&lt;=0,"",VLOOKUP(D734,[1]FF!A:D,2,0))</f>
        <v>PARTICIPACIONES Ramo 28</v>
      </c>
      <c r="F734" s="37" t="s">
        <v>541</v>
      </c>
      <c r="G734" s="37" t="s">
        <v>458</v>
      </c>
      <c r="H734" s="49">
        <v>371001</v>
      </c>
      <c r="I734" s="44" t="str">
        <f>IF(H734&lt;=0,"",VLOOKUP(H734,[1]COG!A:H,2,0))</f>
        <v>Pasajes aéreos</v>
      </c>
      <c r="J734" s="39">
        <v>328</v>
      </c>
      <c r="K734" s="39">
        <v>215</v>
      </c>
      <c r="L734" s="50"/>
      <c r="M734" s="50"/>
      <c r="N734" s="1">
        <f>Tabla5[[#This Row],[TRIMESTRE  I]]+Tabla5[[#This Row],[TRIMESTRE II]]+Tabla5[[#This Row],[TRIMESTRE III]]+Tabla5[[#This Row],[TRIMESTRE IV]]</f>
        <v>543</v>
      </c>
      <c r="O734" s="39"/>
      <c r="P734" s="39"/>
      <c r="Q734" s="59"/>
    </row>
    <row r="735" spans="2:17" ht="45" x14ac:dyDescent="0.2">
      <c r="B735" s="46">
        <v>505060</v>
      </c>
      <c r="C735" s="47" t="s">
        <v>523</v>
      </c>
      <c r="D735" s="48">
        <v>530</v>
      </c>
      <c r="E735" s="43" t="str">
        <f>IF(D735&lt;=0,"",VLOOKUP(D735,[1]FF!A:D,2,0))</f>
        <v>PARTICIPACIONES Ramo 28</v>
      </c>
      <c r="F735" s="37" t="s">
        <v>541</v>
      </c>
      <c r="G735" s="37" t="s">
        <v>458</v>
      </c>
      <c r="H735" s="49">
        <v>375001</v>
      </c>
      <c r="I735" s="44" t="str">
        <f>IF(H735&lt;=0,"",VLOOKUP(H735,[1]COG!A:H,2,0))</f>
        <v>Viáticos</v>
      </c>
      <c r="J735" s="39">
        <v>754</v>
      </c>
      <c r="K735" s="39">
        <v>671</v>
      </c>
      <c r="L735" s="50"/>
      <c r="M735" s="50"/>
      <c r="N735" s="1">
        <f>Tabla5[[#This Row],[TRIMESTRE  I]]+Tabla5[[#This Row],[TRIMESTRE II]]+Tabla5[[#This Row],[TRIMESTRE III]]+Tabla5[[#This Row],[TRIMESTRE IV]]</f>
        <v>1425</v>
      </c>
      <c r="O735" s="39"/>
      <c r="P735" s="39"/>
      <c r="Q735" s="59"/>
    </row>
    <row r="736" spans="2:17" ht="45" x14ac:dyDescent="0.2">
      <c r="B736" s="46">
        <v>505060</v>
      </c>
      <c r="C736" s="47" t="s">
        <v>523</v>
      </c>
      <c r="D736" s="48">
        <v>530</v>
      </c>
      <c r="E736" s="43" t="str">
        <f>IF(D736&lt;=0,"",VLOOKUP(D736,[1]FF!A:D,2,0))</f>
        <v>PARTICIPACIONES Ramo 28</v>
      </c>
      <c r="F736" s="37" t="s">
        <v>541</v>
      </c>
      <c r="G736" s="37" t="s">
        <v>458</v>
      </c>
      <c r="H736" s="49">
        <v>382002</v>
      </c>
      <c r="I736" s="44" t="str">
        <f>IF(H736&lt;=0,"",VLOOKUP(H736,[1]COG!A:H,2,0))</f>
        <v>Gastos de recepción, conmemorativos y de orden social</v>
      </c>
      <c r="J736" s="39">
        <v>1008</v>
      </c>
      <c r="K736" s="39">
        <v>897</v>
      </c>
      <c r="L736" s="50"/>
      <c r="M736" s="50"/>
      <c r="N736" s="1">
        <f>Tabla5[[#This Row],[TRIMESTRE  I]]+Tabla5[[#This Row],[TRIMESTRE II]]+Tabla5[[#This Row],[TRIMESTRE III]]+Tabla5[[#This Row],[TRIMESTRE IV]]</f>
        <v>1905</v>
      </c>
      <c r="O736" s="39"/>
      <c r="P736" s="39"/>
      <c r="Q736" s="59"/>
    </row>
    <row r="737" spans="2:17" ht="45" x14ac:dyDescent="0.2">
      <c r="B737" s="46">
        <v>505060</v>
      </c>
      <c r="C737" s="47" t="s">
        <v>523</v>
      </c>
      <c r="D737" s="48">
        <v>530</v>
      </c>
      <c r="E737" s="43" t="str">
        <f>IF(D737&lt;=0,"",VLOOKUP(D737,[1]FF!A:D,2,0))</f>
        <v>PARTICIPACIONES Ramo 28</v>
      </c>
      <c r="F737" s="37" t="s">
        <v>541</v>
      </c>
      <c r="G737" s="37" t="s">
        <v>458</v>
      </c>
      <c r="H737" s="49">
        <v>383001</v>
      </c>
      <c r="I737" s="44" t="str">
        <f>IF(H737&lt;=0,"",VLOOKUP(H737,[1]COG!A:H,2,0))</f>
        <v>Congresos y convenciones</v>
      </c>
      <c r="J737" s="39">
        <v>25111</v>
      </c>
      <c r="K737" s="39">
        <v>22361</v>
      </c>
      <c r="L737" s="50"/>
      <c r="M737" s="50"/>
      <c r="N737" s="1">
        <f>Tabla5[[#This Row],[TRIMESTRE  I]]+Tabla5[[#This Row],[TRIMESTRE II]]+Tabla5[[#This Row],[TRIMESTRE III]]+Tabla5[[#This Row],[TRIMESTRE IV]]</f>
        <v>47472</v>
      </c>
      <c r="O737" s="39"/>
      <c r="P737" s="39"/>
      <c r="Q737" s="59"/>
    </row>
    <row r="738" spans="2:17" ht="45" x14ac:dyDescent="0.2">
      <c r="B738" s="46">
        <v>505060</v>
      </c>
      <c r="C738" s="47" t="s">
        <v>523</v>
      </c>
      <c r="D738" s="48">
        <v>530</v>
      </c>
      <c r="E738" s="43" t="str">
        <f>IF(D738&lt;=0,"",VLOOKUP(D738,[1]FF!A:D,2,0))</f>
        <v>PARTICIPACIONES Ramo 28</v>
      </c>
      <c r="F738" s="37" t="s">
        <v>541</v>
      </c>
      <c r="G738" s="37" t="s">
        <v>458</v>
      </c>
      <c r="H738" s="49">
        <v>399001</v>
      </c>
      <c r="I738" s="44" t="str">
        <f>IF(H738&lt;=0,"",VLOOKUP(H738,[1]COG!A:H,2,0))</f>
        <v>Gastos menores</v>
      </c>
      <c r="J738" s="39">
        <v>2069</v>
      </c>
      <c r="K738" s="39">
        <v>1842</v>
      </c>
      <c r="L738" s="50"/>
      <c r="M738" s="50"/>
      <c r="N738" s="1">
        <f>Tabla5[[#This Row],[TRIMESTRE  I]]+Tabla5[[#This Row],[TRIMESTRE II]]+Tabla5[[#This Row],[TRIMESTRE III]]+Tabla5[[#This Row],[TRIMESTRE IV]]</f>
        <v>3911</v>
      </c>
      <c r="O738" s="39"/>
      <c r="P738" s="39"/>
      <c r="Q738" s="59"/>
    </row>
    <row r="739" spans="2:17" ht="45" x14ac:dyDescent="0.2">
      <c r="B739" s="46">
        <v>505061</v>
      </c>
      <c r="C739" s="47" t="s">
        <v>523</v>
      </c>
      <c r="D739" s="48">
        <v>530</v>
      </c>
      <c r="E739" s="43" t="str">
        <f>IF(D739&lt;=0,"",VLOOKUP(D739,[1]FF!A:D,2,0))</f>
        <v>PARTICIPACIONES Ramo 28</v>
      </c>
      <c r="F739" s="37" t="s">
        <v>569</v>
      </c>
      <c r="G739" s="37" t="s">
        <v>458</v>
      </c>
      <c r="H739" s="49">
        <v>311001</v>
      </c>
      <c r="I739" s="44" t="str">
        <f>IF(H739&lt;=0,"",VLOOKUP(H739,[1]COG!A:H,2,0))</f>
        <v>Servicio de energía eléctrica</v>
      </c>
      <c r="J739" s="39">
        <v>0</v>
      </c>
      <c r="K739" s="39">
        <v>0</v>
      </c>
      <c r="L739" s="50"/>
      <c r="M739" s="50"/>
      <c r="N739" s="1">
        <f>Tabla5[[#This Row],[TRIMESTRE  I]]+Tabla5[[#This Row],[TRIMESTRE II]]+Tabla5[[#This Row],[TRIMESTRE III]]+Tabla5[[#This Row],[TRIMESTRE IV]]</f>
        <v>0</v>
      </c>
      <c r="O739" s="39"/>
      <c r="P739" s="39"/>
      <c r="Q739" s="59"/>
    </row>
    <row r="740" spans="2:17" ht="45" x14ac:dyDescent="0.2">
      <c r="B740" s="46">
        <v>505061</v>
      </c>
      <c r="C740" s="47" t="s">
        <v>523</v>
      </c>
      <c r="D740" s="48">
        <v>530</v>
      </c>
      <c r="E740" s="43" t="str">
        <f>IF(D740&lt;=0,"",VLOOKUP(D740,[1]FF!A:D,2,0))</f>
        <v>PARTICIPACIONES Ramo 28</v>
      </c>
      <c r="F740" s="37" t="s">
        <v>569</v>
      </c>
      <c r="G740" s="37" t="s">
        <v>458</v>
      </c>
      <c r="H740" s="49">
        <v>314001</v>
      </c>
      <c r="I740" s="44" t="str">
        <f>IF(H740&lt;=0,"",VLOOKUP(H740,[1]COG!A:H,2,0))</f>
        <v>Servicio telefónico</v>
      </c>
      <c r="J740" s="39">
        <v>17844</v>
      </c>
      <c r="K740" s="39">
        <v>5948</v>
      </c>
      <c r="L740" s="50"/>
      <c r="M740" s="50"/>
      <c r="N740" s="1">
        <f>Tabla5[[#This Row],[TRIMESTRE  I]]+Tabla5[[#This Row],[TRIMESTRE II]]+Tabla5[[#This Row],[TRIMESTRE III]]+Tabla5[[#This Row],[TRIMESTRE IV]]</f>
        <v>23792</v>
      </c>
      <c r="O740" s="39"/>
      <c r="P740" s="39"/>
      <c r="Q740" s="59"/>
    </row>
    <row r="741" spans="2:17" ht="45" x14ac:dyDescent="0.2">
      <c r="B741" s="46">
        <v>505061</v>
      </c>
      <c r="C741" s="47" t="s">
        <v>523</v>
      </c>
      <c r="D741" s="48">
        <v>530</v>
      </c>
      <c r="E741" s="43" t="str">
        <f>IF(D741&lt;=0,"",VLOOKUP(D741,[1]FF!A:D,2,0))</f>
        <v>PARTICIPACIONES Ramo 28</v>
      </c>
      <c r="F741" s="37" t="s">
        <v>569</v>
      </c>
      <c r="G741" s="37" t="s">
        <v>458</v>
      </c>
      <c r="H741" s="49">
        <v>322001</v>
      </c>
      <c r="I741" s="44" t="str">
        <f>IF(H741&lt;=0,"",VLOOKUP(H741,[1]COG!A:H,2,0))</f>
        <v>Arrendamiento de edificios</v>
      </c>
      <c r="J741" s="39">
        <v>39114</v>
      </c>
      <c r="K741" s="39">
        <v>39114</v>
      </c>
      <c r="L741" s="50"/>
      <c r="M741" s="50"/>
      <c r="N741" s="1">
        <f>Tabla5[[#This Row],[TRIMESTRE  I]]+Tabla5[[#This Row],[TRIMESTRE II]]+Tabla5[[#This Row],[TRIMESTRE III]]+Tabla5[[#This Row],[TRIMESTRE IV]]</f>
        <v>78228</v>
      </c>
      <c r="O741" s="39"/>
      <c r="P741" s="39"/>
      <c r="Q741" s="59"/>
    </row>
    <row r="742" spans="2:17" ht="45" x14ac:dyDescent="0.2">
      <c r="B742" s="46">
        <v>505061</v>
      </c>
      <c r="C742" s="47" t="s">
        <v>523</v>
      </c>
      <c r="D742" s="48">
        <v>530</v>
      </c>
      <c r="E742" s="43" t="str">
        <f>IF(D742&lt;=0,"",VLOOKUP(D742,[1]FF!A:D,2,0))</f>
        <v>PARTICIPACIONES Ramo 28</v>
      </c>
      <c r="F742" s="37" t="s">
        <v>569</v>
      </c>
      <c r="G742" s="37" t="s">
        <v>458</v>
      </c>
      <c r="H742" s="49">
        <v>323001</v>
      </c>
      <c r="I742" s="44" t="str">
        <f>IF(H742&lt;=0,"",VLOOKUP(H742,[1]COG!A:H,2,0))</f>
        <v>Arrendamiento de maquinaria y equipo</v>
      </c>
      <c r="J742" s="39">
        <v>3288</v>
      </c>
      <c r="K742" s="39">
        <v>3288</v>
      </c>
      <c r="L742" s="50"/>
      <c r="M742" s="50"/>
      <c r="N742" s="1">
        <f>Tabla5[[#This Row],[TRIMESTRE  I]]+Tabla5[[#This Row],[TRIMESTRE II]]+Tabla5[[#This Row],[TRIMESTRE III]]+Tabla5[[#This Row],[TRIMESTRE IV]]</f>
        <v>6576</v>
      </c>
      <c r="O742" s="39"/>
      <c r="P742" s="39"/>
      <c r="Q742" s="59"/>
    </row>
    <row r="743" spans="2:17" ht="45" x14ac:dyDescent="0.2">
      <c r="B743" s="46">
        <v>505061</v>
      </c>
      <c r="C743" s="47" t="s">
        <v>523</v>
      </c>
      <c r="D743" s="48">
        <v>530</v>
      </c>
      <c r="E743" s="43" t="str">
        <f>IF(D743&lt;=0,"",VLOOKUP(D743,[1]FF!A:D,2,0))</f>
        <v>PARTICIPACIONES Ramo 28</v>
      </c>
      <c r="F743" s="37" t="s">
        <v>569</v>
      </c>
      <c r="G743" s="37" t="s">
        <v>458</v>
      </c>
      <c r="H743" s="49">
        <v>333002</v>
      </c>
      <c r="I743" s="44" t="str">
        <f>IF(H743&lt;=0,"",VLOOKUP(H743,[1]COG!A:H,2,0))</f>
        <v>Sistematización de la Armonización Contable y Presupuestal</v>
      </c>
      <c r="J743" s="39">
        <v>30613</v>
      </c>
      <c r="K743" s="39">
        <v>27262</v>
      </c>
      <c r="L743" s="50"/>
      <c r="M743" s="50"/>
      <c r="N743" s="1">
        <f>Tabla5[[#This Row],[TRIMESTRE  I]]+Tabla5[[#This Row],[TRIMESTRE II]]+Tabla5[[#This Row],[TRIMESTRE III]]+Tabla5[[#This Row],[TRIMESTRE IV]]</f>
        <v>57875</v>
      </c>
      <c r="O743" s="39"/>
      <c r="P743" s="39"/>
      <c r="Q743" s="59"/>
    </row>
    <row r="744" spans="2:17" ht="45" x14ac:dyDescent="0.2">
      <c r="B744" s="46">
        <v>505061</v>
      </c>
      <c r="C744" s="47" t="s">
        <v>523</v>
      </c>
      <c r="D744" s="48">
        <v>530</v>
      </c>
      <c r="E744" s="43" t="str">
        <f>IF(D744&lt;=0,"",VLOOKUP(D744,[1]FF!A:D,2,0))</f>
        <v>PARTICIPACIONES Ramo 28</v>
      </c>
      <c r="F744" s="37" t="s">
        <v>569</v>
      </c>
      <c r="G744" s="37" t="s">
        <v>458</v>
      </c>
      <c r="H744" s="49">
        <v>333003</v>
      </c>
      <c r="I744" s="44" t="str">
        <f>IF(H744&lt;=0,"",VLOOKUP(H744,[1]COG!A:H,2,0))</f>
        <v>Servicios de consultoría administrativa, procesos, técnica y en tecnologías de la información</v>
      </c>
      <c r="J744" s="39">
        <v>98318</v>
      </c>
      <c r="K744" s="39">
        <v>87552</v>
      </c>
      <c r="L744" s="50"/>
      <c r="M744" s="50"/>
      <c r="N744" s="1">
        <f>Tabla5[[#This Row],[TRIMESTRE  I]]+Tabla5[[#This Row],[TRIMESTRE II]]+Tabla5[[#This Row],[TRIMESTRE III]]+Tabla5[[#This Row],[TRIMESTRE IV]]</f>
        <v>185870</v>
      </c>
      <c r="O744" s="39"/>
      <c r="P744" s="39"/>
      <c r="Q744" s="59"/>
    </row>
    <row r="745" spans="2:17" ht="45" x14ac:dyDescent="0.2">
      <c r="B745" s="46">
        <v>505061</v>
      </c>
      <c r="C745" s="47" t="s">
        <v>523</v>
      </c>
      <c r="D745" s="48">
        <v>530</v>
      </c>
      <c r="E745" s="43" t="str">
        <f>IF(D745&lt;=0,"",VLOOKUP(D745,[1]FF!A:D,2,0))</f>
        <v>PARTICIPACIONES Ramo 28</v>
      </c>
      <c r="F745" s="37" t="s">
        <v>569</v>
      </c>
      <c r="G745" s="37" t="s">
        <v>458</v>
      </c>
      <c r="H745" s="49">
        <v>352001</v>
      </c>
      <c r="I745" s="44" t="str">
        <f>IF(H745&lt;=0,"",VLOOKUP(H745,[1]COG!A:H,2,0))</f>
        <v>Mantenimiento de mobiliario y equipo</v>
      </c>
      <c r="J745" s="39">
        <v>63750</v>
      </c>
      <c r="K745" s="39">
        <v>63750</v>
      </c>
      <c r="L745" s="50"/>
      <c r="M745" s="50"/>
      <c r="N745" s="1">
        <f>Tabla5[[#This Row],[TRIMESTRE  I]]+Tabla5[[#This Row],[TRIMESTRE II]]+Tabla5[[#This Row],[TRIMESTRE III]]+Tabla5[[#This Row],[TRIMESTRE IV]]</f>
        <v>127500</v>
      </c>
      <c r="O745" s="39"/>
      <c r="P745" s="39"/>
      <c r="Q745" s="59"/>
    </row>
    <row r="746" spans="2:17" ht="45" x14ac:dyDescent="0.2">
      <c r="B746" s="46">
        <v>505061</v>
      </c>
      <c r="C746" s="47" t="s">
        <v>523</v>
      </c>
      <c r="D746" s="48">
        <v>530</v>
      </c>
      <c r="E746" s="43" t="str">
        <f>IF(D746&lt;=0,"",VLOOKUP(D746,[1]FF!A:D,2,0))</f>
        <v>PARTICIPACIONES Ramo 28</v>
      </c>
      <c r="F746" s="37" t="s">
        <v>569</v>
      </c>
      <c r="G746" s="37" t="s">
        <v>458</v>
      </c>
      <c r="H746" s="49">
        <v>355001</v>
      </c>
      <c r="I746" s="44" t="str">
        <f>IF(H746&lt;=0,"",VLOOKUP(H746,[1]COG!A:H,2,0))</f>
        <v>Mantto. y conservación de vehículos terrestres, aéreos, marítimos, lacustres y fluviales</v>
      </c>
      <c r="J746" s="39">
        <v>51963</v>
      </c>
      <c r="K746" s="39">
        <v>51963</v>
      </c>
      <c r="L746" s="50"/>
      <c r="M746" s="50"/>
      <c r="N746" s="1">
        <f>Tabla5[[#This Row],[TRIMESTRE  I]]+Tabla5[[#This Row],[TRIMESTRE II]]+Tabla5[[#This Row],[TRIMESTRE III]]+Tabla5[[#This Row],[TRIMESTRE IV]]</f>
        <v>103926</v>
      </c>
      <c r="O746" s="39"/>
      <c r="P746" s="39"/>
      <c r="Q746" s="59"/>
    </row>
    <row r="747" spans="2:17" ht="45" x14ac:dyDescent="0.2">
      <c r="B747" s="46">
        <v>505061</v>
      </c>
      <c r="C747" s="47" t="s">
        <v>523</v>
      </c>
      <c r="D747" s="48">
        <v>530</v>
      </c>
      <c r="E747" s="43" t="str">
        <f>IF(D747&lt;=0,"",VLOOKUP(D747,[1]FF!A:D,2,0))</f>
        <v>PARTICIPACIONES Ramo 28</v>
      </c>
      <c r="F747" s="37" t="s">
        <v>569</v>
      </c>
      <c r="G747" s="37" t="s">
        <v>458</v>
      </c>
      <c r="H747" s="49">
        <v>361002</v>
      </c>
      <c r="I747" s="44" t="str">
        <f>IF(H747&lt;=0,"",VLOOKUP(H747,[1]COG!A:H,2,0))</f>
        <v>Impresiones y publicaciones oficiales</v>
      </c>
      <c r="J747" s="39">
        <v>25530</v>
      </c>
      <c r="K747" s="39">
        <v>25386</v>
      </c>
      <c r="L747" s="50"/>
      <c r="M747" s="50"/>
      <c r="N747" s="1">
        <f>Tabla5[[#This Row],[TRIMESTRE  I]]+Tabla5[[#This Row],[TRIMESTRE II]]+Tabla5[[#This Row],[TRIMESTRE III]]+Tabla5[[#This Row],[TRIMESTRE IV]]</f>
        <v>50916</v>
      </c>
      <c r="O747" s="39"/>
      <c r="P747" s="39"/>
      <c r="Q747" s="59"/>
    </row>
    <row r="748" spans="2:17" ht="45" x14ac:dyDescent="0.2">
      <c r="B748" s="46">
        <v>505061</v>
      </c>
      <c r="C748" s="47" t="s">
        <v>523</v>
      </c>
      <c r="D748" s="48">
        <v>530</v>
      </c>
      <c r="E748" s="43" t="str">
        <f>IF(D748&lt;=0,"",VLOOKUP(D748,[1]FF!A:D,2,0))</f>
        <v>PARTICIPACIONES Ramo 28</v>
      </c>
      <c r="F748" s="37" t="s">
        <v>569</v>
      </c>
      <c r="G748" s="37" t="s">
        <v>458</v>
      </c>
      <c r="H748" s="49">
        <v>371001</v>
      </c>
      <c r="I748" s="44" t="str">
        <f>IF(H748&lt;=0,"",VLOOKUP(H748,[1]COG!A:H,2,0))</f>
        <v>Pasajes aéreos</v>
      </c>
      <c r="J748" s="39">
        <v>46776</v>
      </c>
      <c r="K748" s="39">
        <v>46776</v>
      </c>
      <c r="L748" s="50"/>
      <c r="M748" s="50"/>
      <c r="N748" s="1">
        <f>Tabla5[[#This Row],[TRIMESTRE  I]]+Tabla5[[#This Row],[TRIMESTRE II]]+Tabla5[[#This Row],[TRIMESTRE III]]+Tabla5[[#This Row],[TRIMESTRE IV]]</f>
        <v>93552</v>
      </c>
      <c r="O748" s="39"/>
      <c r="P748" s="39"/>
      <c r="Q748" s="59"/>
    </row>
    <row r="749" spans="2:17" ht="45" x14ac:dyDescent="0.2">
      <c r="B749" s="46">
        <v>505061</v>
      </c>
      <c r="C749" s="47" t="s">
        <v>523</v>
      </c>
      <c r="D749" s="48">
        <v>530</v>
      </c>
      <c r="E749" s="43" t="str">
        <f>IF(D749&lt;=0,"",VLOOKUP(D749,[1]FF!A:D,2,0))</f>
        <v>PARTICIPACIONES Ramo 28</v>
      </c>
      <c r="F749" s="37" t="s">
        <v>569</v>
      </c>
      <c r="G749" s="37" t="s">
        <v>458</v>
      </c>
      <c r="H749" s="49">
        <v>375001</v>
      </c>
      <c r="I749" s="44" t="str">
        <f>IF(H749&lt;=0,"",VLOOKUP(H749,[1]COG!A:H,2,0))</f>
        <v>Viáticos</v>
      </c>
      <c r="J749" s="39">
        <v>9933</v>
      </c>
      <c r="K749" s="39">
        <v>9933</v>
      </c>
      <c r="L749" s="50"/>
      <c r="M749" s="50"/>
      <c r="N749" s="1">
        <f>Tabla5[[#This Row],[TRIMESTRE  I]]+Tabla5[[#This Row],[TRIMESTRE II]]+Tabla5[[#This Row],[TRIMESTRE III]]+Tabla5[[#This Row],[TRIMESTRE IV]]</f>
        <v>19866</v>
      </c>
      <c r="O749" s="39"/>
      <c r="P749" s="39"/>
      <c r="Q749" s="59"/>
    </row>
    <row r="750" spans="2:17" ht="45" x14ac:dyDescent="0.2">
      <c r="B750" s="46">
        <v>505061</v>
      </c>
      <c r="C750" s="47" t="s">
        <v>523</v>
      </c>
      <c r="D750" s="48">
        <v>530</v>
      </c>
      <c r="E750" s="43" t="str">
        <f>IF(D750&lt;=0,"",VLOOKUP(D750,[1]FF!A:D,2,0))</f>
        <v>PARTICIPACIONES Ramo 28</v>
      </c>
      <c r="F750" s="37" t="s">
        <v>569</v>
      </c>
      <c r="G750" s="37" t="s">
        <v>458</v>
      </c>
      <c r="H750" s="49">
        <v>382002</v>
      </c>
      <c r="I750" s="44" t="str">
        <f>IF(H750&lt;=0,"",VLOOKUP(H750,[1]COG!A:H,2,0))</f>
        <v>Gastos de recepción, conmemorativos y de orden social</v>
      </c>
      <c r="J750" s="39">
        <v>463</v>
      </c>
      <c r="K750" s="39">
        <v>412</v>
      </c>
      <c r="L750" s="50"/>
      <c r="M750" s="50"/>
      <c r="N750" s="1">
        <f>Tabla5[[#This Row],[TRIMESTRE  I]]+Tabla5[[#This Row],[TRIMESTRE II]]+Tabla5[[#This Row],[TRIMESTRE III]]+Tabla5[[#This Row],[TRIMESTRE IV]]</f>
        <v>875</v>
      </c>
      <c r="O750" s="39"/>
      <c r="P750" s="39"/>
      <c r="Q750" s="59"/>
    </row>
    <row r="751" spans="2:17" ht="45" x14ac:dyDescent="0.2">
      <c r="B751" s="46">
        <v>505061</v>
      </c>
      <c r="C751" s="47" t="s">
        <v>523</v>
      </c>
      <c r="D751" s="48">
        <v>530</v>
      </c>
      <c r="E751" s="43" t="str">
        <f>IF(D751&lt;=0,"",VLOOKUP(D751,[1]FF!A:D,2,0))</f>
        <v>PARTICIPACIONES Ramo 28</v>
      </c>
      <c r="F751" s="37" t="s">
        <v>569</v>
      </c>
      <c r="G751" s="37" t="s">
        <v>458</v>
      </c>
      <c r="H751" s="49">
        <v>399001</v>
      </c>
      <c r="I751" s="44" t="str">
        <f>IF(H751&lt;=0,"",VLOOKUP(H751,[1]COG!A:H,2,0))</f>
        <v>Gastos menores</v>
      </c>
      <c r="J751" s="39">
        <v>739</v>
      </c>
      <c r="K751" s="39">
        <v>658</v>
      </c>
      <c r="L751" s="50"/>
      <c r="M751" s="50"/>
      <c r="N751" s="1">
        <f>Tabla5[[#This Row],[TRIMESTRE  I]]+Tabla5[[#This Row],[TRIMESTRE II]]+Tabla5[[#This Row],[TRIMESTRE III]]+Tabla5[[#This Row],[TRIMESTRE IV]]</f>
        <v>1397</v>
      </c>
      <c r="O751" s="39"/>
      <c r="P751" s="39"/>
      <c r="Q751" s="59"/>
    </row>
    <row r="752" spans="2:17" x14ac:dyDescent="0.2">
      <c r="B752" s="46">
        <v>505062</v>
      </c>
      <c r="C752" s="47" t="s">
        <v>523</v>
      </c>
      <c r="D752" s="48">
        <v>530</v>
      </c>
      <c r="E752" s="43" t="str">
        <f>IF(D752&lt;=0,"",VLOOKUP(D752,[1]FF!A:D,2,0))</f>
        <v>PARTICIPACIONES Ramo 28</v>
      </c>
      <c r="F752" s="37" t="s">
        <v>570</v>
      </c>
      <c r="G752" s="37" t="s">
        <v>458</v>
      </c>
      <c r="H752" s="49">
        <v>375001</v>
      </c>
      <c r="I752" s="44" t="str">
        <f>IF(H752&lt;=0,"",VLOOKUP(H752,[1]COG!A:H,2,0))</f>
        <v>Viáticos</v>
      </c>
      <c r="J752" s="39">
        <v>2011</v>
      </c>
      <c r="K752" s="39">
        <v>0</v>
      </c>
      <c r="L752" s="50"/>
      <c r="M752" s="50"/>
      <c r="N752" s="1">
        <f>Tabla5[[#This Row],[TRIMESTRE  I]]+Tabla5[[#This Row],[TRIMESTRE II]]+Tabla5[[#This Row],[TRIMESTRE III]]+Tabla5[[#This Row],[TRIMESTRE IV]]</f>
        <v>2011</v>
      </c>
      <c r="O752" s="39"/>
      <c r="P752" s="39"/>
      <c r="Q752" s="59"/>
    </row>
    <row r="753" spans="2:17" x14ac:dyDescent="0.2">
      <c r="B753" s="46">
        <v>507065</v>
      </c>
      <c r="C753" s="47" t="s">
        <v>571</v>
      </c>
      <c r="D753" s="48">
        <v>530</v>
      </c>
      <c r="E753" s="43" t="str">
        <f>IF(D753&lt;=0,"",VLOOKUP(D753,[1]FF!A:D,2,0))</f>
        <v>PARTICIPACIONES Ramo 28</v>
      </c>
      <c r="F753" s="37" t="s">
        <v>544</v>
      </c>
      <c r="G753" s="37" t="s">
        <v>458</v>
      </c>
      <c r="H753" s="49">
        <v>311001</v>
      </c>
      <c r="I753" s="44" t="str">
        <f>IF(H753&lt;=0,"",VLOOKUP(H753,[1]COG!A:H,2,0))</f>
        <v>Servicio de energía eléctrica</v>
      </c>
      <c r="J753" s="39">
        <v>8160</v>
      </c>
      <c r="K753" s="39">
        <v>6905</v>
      </c>
      <c r="L753" s="50"/>
      <c r="M753" s="50"/>
      <c r="N753" s="1">
        <f>Tabla5[[#This Row],[TRIMESTRE  I]]+Tabla5[[#This Row],[TRIMESTRE II]]+Tabla5[[#This Row],[TRIMESTRE III]]+Tabla5[[#This Row],[TRIMESTRE IV]]</f>
        <v>15065</v>
      </c>
      <c r="O753" s="39"/>
      <c r="P753" s="39"/>
      <c r="Q753" s="59"/>
    </row>
    <row r="754" spans="2:17" x14ac:dyDescent="0.2">
      <c r="B754" s="46">
        <v>507065</v>
      </c>
      <c r="C754" s="47" t="s">
        <v>523</v>
      </c>
      <c r="D754" s="48">
        <v>530</v>
      </c>
      <c r="E754" s="43" t="str">
        <f>IF(D754&lt;=0,"",VLOOKUP(D754,[1]FF!A:D,2,0))</f>
        <v>PARTICIPACIONES Ramo 28</v>
      </c>
      <c r="F754" s="37" t="s">
        <v>544</v>
      </c>
      <c r="G754" s="37" t="s">
        <v>458</v>
      </c>
      <c r="H754" s="49">
        <v>313001</v>
      </c>
      <c r="I754" s="44" t="str">
        <f>IF(H754&lt;=0,"",VLOOKUP(H754,[1]COG!A:H,2,0))</f>
        <v>Servicio de agua potable</v>
      </c>
      <c r="J754" s="39">
        <v>14277</v>
      </c>
      <c r="K754" s="39">
        <v>14277</v>
      </c>
      <c r="L754" s="50"/>
      <c r="M754" s="50"/>
      <c r="N754" s="1">
        <f>Tabla5[[#This Row],[TRIMESTRE  I]]+Tabla5[[#This Row],[TRIMESTRE II]]+Tabla5[[#This Row],[TRIMESTRE III]]+Tabla5[[#This Row],[TRIMESTRE IV]]</f>
        <v>28554</v>
      </c>
      <c r="O754" s="39"/>
      <c r="P754" s="39"/>
      <c r="Q754" s="59"/>
    </row>
    <row r="755" spans="2:17" x14ac:dyDescent="0.2">
      <c r="B755" s="46">
        <v>507065</v>
      </c>
      <c r="C755" s="47" t="s">
        <v>523</v>
      </c>
      <c r="D755" s="48">
        <v>530</v>
      </c>
      <c r="E755" s="43" t="str">
        <f>IF(D755&lt;=0,"",VLOOKUP(D755,[1]FF!A:D,2,0))</f>
        <v>PARTICIPACIONES Ramo 28</v>
      </c>
      <c r="F755" s="37" t="s">
        <v>544</v>
      </c>
      <c r="G755" s="37" t="s">
        <v>458</v>
      </c>
      <c r="H755" s="49">
        <v>314001</v>
      </c>
      <c r="I755" s="44" t="str">
        <f>IF(H755&lt;=0,"",VLOOKUP(H755,[1]COG!A:H,2,0))</f>
        <v>Servicio telefónico</v>
      </c>
      <c r="J755" s="39">
        <v>0</v>
      </c>
      <c r="K755" s="39">
        <v>0</v>
      </c>
      <c r="L755" s="50"/>
      <c r="M755" s="50"/>
      <c r="N755" s="1">
        <f>Tabla5[[#This Row],[TRIMESTRE  I]]+Tabla5[[#This Row],[TRIMESTRE II]]+Tabla5[[#This Row],[TRIMESTRE III]]+Tabla5[[#This Row],[TRIMESTRE IV]]</f>
        <v>0</v>
      </c>
      <c r="O755" s="39"/>
      <c r="P755" s="39"/>
      <c r="Q755" s="59"/>
    </row>
    <row r="756" spans="2:17" x14ac:dyDescent="0.2">
      <c r="B756" s="46">
        <v>507065</v>
      </c>
      <c r="C756" s="47" t="s">
        <v>523</v>
      </c>
      <c r="D756" s="48">
        <v>530</v>
      </c>
      <c r="E756" s="43" t="str">
        <f>IF(D756&lt;=0,"",VLOOKUP(D756,[1]FF!A:D,2,0))</f>
        <v>PARTICIPACIONES Ramo 28</v>
      </c>
      <c r="F756" s="37" t="s">
        <v>544</v>
      </c>
      <c r="G756" s="37" t="s">
        <v>458</v>
      </c>
      <c r="H756" s="49">
        <v>322001</v>
      </c>
      <c r="I756" s="44" t="str">
        <f>IF(H756&lt;=0,"",VLOOKUP(H756,[1]COG!A:H,2,0))</f>
        <v>Arrendamiento de edificios</v>
      </c>
      <c r="J756" s="39">
        <v>246696</v>
      </c>
      <c r="K756" s="39">
        <v>246696</v>
      </c>
      <c r="L756" s="50"/>
      <c r="M756" s="50"/>
      <c r="N756" s="1">
        <f>Tabla5[[#This Row],[TRIMESTRE  I]]+Tabla5[[#This Row],[TRIMESTRE II]]+Tabla5[[#This Row],[TRIMESTRE III]]+Tabla5[[#This Row],[TRIMESTRE IV]]</f>
        <v>493392</v>
      </c>
      <c r="O756" s="39"/>
      <c r="P756" s="39"/>
      <c r="Q756" s="59"/>
    </row>
    <row r="757" spans="2:17" x14ac:dyDescent="0.2">
      <c r="B757" s="46">
        <v>507065</v>
      </c>
      <c r="C757" s="47" t="s">
        <v>523</v>
      </c>
      <c r="D757" s="48">
        <v>530</v>
      </c>
      <c r="E757" s="43" t="str">
        <f>IF(D757&lt;=0,"",VLOOKUP(D757,[1]FF!A:D,2,0))</f>
        <v>PARTICIPACIONES Ramo 28</v>
      </c>
      <c r="F757" s="37" t="s">
        <v>544</v>
      </c>
      <c r="G757" s="37" t="s">
        <v>458</v>
      </c>
      <c r="H757" s="49">
        <v>323001</v>
      </c>
      <c r="I757" s="44" t="str">
        <f>IF(H757&lt;=0,"",VLOOKUP(H757,[1]COG!A:H,2,0))</f>
        <v>Arrendamiento de maquinaria y equipo</v>
      </c>
      <c r="J757" s="39">
        <v>3774</v>
      </c>
      <c r="K757" s="39">
        <v>3774</v>
      </c>
      <c r="L757" s="50"/>
      <c r="M757" s="50"/>
      <c r="N757" s="1">
        <f>Tabla5[[#This Row],[TRIMESTRE  I]]+Tabla5[[#This Row],[TRIMESTRE II]]+Tabla5[[#This Row],[TRIMESTRE III]]+Tabla5[[#This Row],[TRIMESTRE IV]]</f>
        <v>7548</v>
      </c>
      <c r="O757" s="39"/>
      <c r="P757" s="39"/>
      <c r="Q757" s="59"/>
    </row>
    <row r="758" spans="2:17" x14ac:dyDescent="0.2">
      <c r="B758" s="46">
        <v>507065</v>
      </c>
      <c r="C758" s="47" t="s">
        <v>523</v>
      </c>
      <c r="D758" s="48">
        <v>530</v>
      </c>
      <c r="E758" s="43" t="str">
        <f>IF(D758&lt;=0,"",VLOOKUP(D758,[1]FF!A:D,2,0))</f>
        <v>PARTICIPACIONES Ramo 28</v>
      </c>
      <c r="F758" s="37" t="s">
        <v>544</v>
      </c>
      <c r="G758" s="37" t="s">
        <v>458</v>
      </c>
      <c r="H758" s="49">
        <v>334001</v>
      </c>
      <c r="I758" s="44" t="str">
        <f>IF(H758&lt;=0,"",VLOOKUP(H758,[1]COG!A:H,2,0))</f>
        <v>Cuotas e inscripciones</v>
      </c>
      <c r="J758" s="39">
        <v>169497</v>
      </c>
      <c r="K758" s="39">
        <v>150937</v>
      </c>
      <c r="L758" s="50"/>
      <c r="M758" s="50"/>
      <c r="N758" s="1">
        <f>Tabla5[[#This Row],[TRIMESTRE  I]]+Tabla5[[#This Row],[TRIMESTRE II]]+Tabla5[[#This Row],[TRIMESTRE III]]+Tabla5[[#This Row],[TRIMESTRE IV]]</f>
        <v>320434</v>
      </c>
      <c r="O758" s="39"/>
      <c r="P758" s="39"/>
      <c r="Q758" s="59"/>
    </row>
    <row r="759" spans="2:17" x14ac:dyDescent="0.2">
      <c r="B759" s="46">
        <v>507065</v>
      </c>
      <c r="C759" s="47" t="s">
        <v>523</v>
      </c>
      <c r="D759" s="48">
        <v>530</v>
      </c>
      <c r="E759" s="43" t="str">
        <f>IF(D759&lt;=0,"",VLOOKUP(D759,[1]FF!A:D,2,0))</f>
        <v>PARTICIPACIONES Ramo 28</v>
      </c>
      <c r="F759" s="37" t="s">
        <v>544</v>
      </c>
      <c r="G759" s="37" t="s">
        <v>458</v>
      </c>
      <c r="H759" s="49">
        <v>351001</v>
      </c>
      <c r="I759" s="44" t="str">
        <f>IF(H759&lt;=0,"",VLOOKUP(H759,[1]COG!A:H,2,0))</f>
        <v>Mantenimiento de inmuebles</v>
      </c>
      <c r="J759" s="39">
        <v>13495</v>
      </c>
      <c r="K759" s="39">
        <v>13359</v>
      </c>
      <c r="L759" s="50"/>
      <c r="M759" s="50"/>
      <c r="N759" s="1">
        <f>Tabla5[[#This Row],[TRIMESTRE  I]]+Tabla5[[#This Row],[TRIMESTRE II]]+Tabla5[[#This Row],[TRIMESTRE III]]+Tabla5[[#This Row],[TRIMESTRE IV]]</f>
        <v>26854</v>
      </c>
      <c r="O759" s="39"/>
      <c r="P759" s="39"/>
      <c r="Q759" s="59"/>
    </row>
    <row r="760" spans="2:17" x14ac:dyDescent="0.2">
      <c r="B760" s="46">
        <v>507065</v>
      </c>
      <c r="C760" s="47" t="s">
        <v>523</v>
      </c>
      <c r="D760" s="48">
        <v>530</v>
      </c>
      <c r="E760" s="43" t="str">
        <f>IF(D760&lt;=0,"",VLOOKUP(D760,[1]FF!A:D,2,0))</f>
        <v>PARTICIPACIONES Ramo 28</v>
      </c>
      <c r="F760" s="37" t="s">
        <v>544</v>
      </c>
      <c r="G760" s="37" t="s">
        <v>458</v>
      </c>
      <c r="H760" s="49">
        <v>352001</v>
      </c>
      <c r="I760" s="44" t="str">
        <f>IF(H760&lt;=0,"",VLOOKUP(H760,[1]COG!A:H,2,0))</f>
        <v>Mantenimiento de mobiliario y equipo</v>
      </c>
      <c r="J760" s="39">
        <v>11904</v>
      </c>
      <c r="K760" s="39">
        <v>11773</v>
      </c>
      <c r="L760" s="50"/>
      <c r="M760" s="50"/>
      <c r="N760" s="1">
        <f>Tabla5[[#This Row],[TRIMESTRE  I]]+Tabla5[[#This Row],[TRIMESTRE II]]+Tabla5[[#This Row],[TRIMESTRE III]]+Tabla5[[#This Row],[TRIMESTRE IV]]</f>
        <v>23677</v>
      </c>
      <c r="O760" s="39"/>
      <c r="P760" s="39"/>
      <c r="Q760" s="59"/>
    </row>
    <row r="761" spans="2:17" ht="27" x14ac:dyDescent="0.2">
      <c r="B761" s="46">
        <v>507065</v>
      </c>
      <c r="C761" s="47" t="s">
        <v>523</v>
      </c>
      <c r="D761" s="48">
        <v>530</v>
      </c>
      <c r="E761" s="43" t="str">
        <f>IF(D761&lt;=0,"",VLOOKUP(D761,[1]FF!A:D,2,0))</f>
        <v>PARTICIPACIONES Ramo 28</v>
      </c>
      <c r="F761" s="37" t="s">
        <v>544</v>
      </c>
      <c r="G761" s="37" t="s">
        <v>458</v>
      </c>
      <c r="H761" s="49">
        <v>355001</v>
      </c>
      <c r="I761" s="44" t="str">
        <f>IF(H761&lt;=0,"",VLOOKUP(H761,[1]COG!A:H,2,0))</f>
        <v>Mantto. y conservación de vehículos terrestres, aéreos, marítimos, lacustres y fluviales</v>
      </c>
      <c r="J761" s="39">
        <v>37864</v>
      </c>
      <c r="K761" s="39">
        <v>37737</v>
      </c>
      <c r="L761" s="50"/>
      <c r="M761" s="50"/>
      <c r="N761" s="1">
        <f>Tabla5[[#This Row],[TRIMESTRE  I]]+Tabla5[[#This Row],[TRIMESTRE II]]+Tabla5[[#This Row],[TRIMESTRE III]]+Tabla5[[#This Row],[TRIMESTRE IV]]</f>
        <v>75601</v>
      </c>
      <c r="O761" s="39"/>
      <c r="P761" s="39"/>
      <c r="Q761" s="59"/>
    </row>
    <row r="762" spans="2:17" x14ac:dyDescent="0.2">
      <c r="B762" s="46">
        <v>507065</v>
      </c>
      <c r="C762" s="47" t="s">
        <v>523</v>
      </c>
      <c r="D762" s="48">
        <v>530</v>
      </c>
      <c r="E762" s="43" t="str">
        <f>IF(D762&lt;=0,"",VLOOKUP(D762,[1]FF!A:D,2,0))</f>
        <v>PARTICIPACIONES Ramo 28</v>
      </c>
      <c r="F762" s="37" t="s">
        <v>544</v>
      </c>
      <c r="G762" s="37" t="s">
        <v>458</v>
      </c>
      <c r="H762" s="49">
        <v>358001</v>
      </c>
      <c r="I762" s="44" t="str">
        <f>IF(H762&lt;=0,"",VLOOKUP(H762,[1]COG!A:H,2,0))</f>
        <v>Servicios de higiene y limpieza</v>
      </c>
      <c r="J762" s="39">
        <v>530</v>
      </c>
      <c r="K762" s="39">
        <v>472</v>
      </c>
      <c r="L762" s="50"/>
      <c r="M762" s="50"/>
      <c r="N762" s="1">
        <f>Tabla5[[#This Row],[TRIMESTRE  I]]+Tabla5[[#This Row],[TRIMESTRE II]]+Tabla5[[#This Row],[TRIMESTRE III]]+Tabla5[[#This Row],[TRIMESTRE IV]]</f>
        <v>1002</v>
      </c>
      <c r="O762" s="39"/>
      <c r="P762" s="39"/>
      <c r="Q762" s="59"/>
    </row>
    <row r="763" spans="2:17" x14ac:dyDescent="0.2">
      <c r="B763" s="46">
        <v>507065</v>
      </c>
      <c r="C763" s="47" t="s">
        <v>523</v>
      </c>
      <c r="D763" s="48">
        <v>530</v>
      </c>
      <c r="E763" s="43" t="str">
        <f>IF(D763&lt;=0,"",VLOOKUP(D763,[1]FF!A:D,2,0))</f>
        <v>PARTICIPACIONES Ramo 28</v>
      </c>
      <c r="F763" s="37" t="s">
        <v>544</v>
      </c>
      <c r="G763" s="37" t="s">
        <v>458</v>
      </c>
      <c r="H763" s="49">
        <v>371001</v>
      </c>
      <c r="I763" s="44" t="str">
        <f>IF(H763&lt;=0,"",VLOOKUP(H763,[1]COG!A:H,2,0))</f>
        <v>Pasajes aéreos</v>
      </c>
      <c r="J763" s="39">
        <v>5917</v>
      </c>
      <c r="K763" s="39">
        <v>5269</v>
      </c>
      <c r="L763" s="50"/>
      <c r="M763" s="50"/>
      <c r="N763" s="1">
        <f>Tabla5[[#This Row],[TRIMESTRE  I]]+Tabla5[[#This Row],[TRIMESTRE II]]+Tabla5[[#This Row],[TRIMESTRE III]]+Tabla5[[#This Row],[TRIMESTRE IV]]</f>
        <v>11186</v>
      </c>
      <c r="O763" s="39"/>
      <c r="P763" s="39"/>
      <c r="Q763" s="59"/>
    </row>
    <row r="764" spans="2:17" x14ac:dyDescent="0.2">
      <c r="B764" s="46">
        <v>507065</v>
      </c>
      <c r="C764" s="47" t="s">
        <v>523</v>
      </c>
      <c r="D764" s="48">
        <v>530</v>
      </c>
      <c r="E764" s="43" t="str">
        <f>IF(D764&lt;=0,"",VLOOKUP(D764,[1]FF!A:D,2,0))</f>
        <v>PARTICIPACIONES Ramo 28</v>
      </c>
      <c r="F764" s="37" t="s">
        <v>544</v>
      </c>
      <c r="G764" s="37" t="s">
        <v>458</v>
      </c>
      <c r="H764" s="49">
        <v>375001</v>
      </c>
      <c r="I764" s="44" t="str">
        <f>IF(H764&lt;=0,"",VLOOKUP(H764,[1]COG!A:H,2,0))</f>
        <v>Viáticos</v>
      </c>
      <c r="J764" s="39">
        <v>5113</v>
      </c>
      <c r="K764" s="39">
        <v>4554</v>
      </c>
      <c r="L764" s="50"/>
      <c r="M764" s="50"/>
      <c r="N764" s="1">
        <f>Tabla5[[#This Row],[TRIMESTRE  I]]+Tabla5[[#This Row],[TRIMESTRE II]]+Tabla5[[#This Row],[TRIMESTRE III]]+Tabla5[[#This Row],[TRIMESTRE IV]]</f>
        <v>9667</v>
      </c>
      <c r="O764" s="39"/>
      <c r="P764" s="39"/>
      <c r="Q764" s="59"/>
    </row>
    <row r="765" spans="2:17" x14ac:dyDescent="0.2">
      <c r="B765" s="46">
        <v>507065</v>
      </c>
      <c r="C765" s="47" t="s">
        <v>523</v>
      </c>
      <c r="D765" s="48">
        <v>530</v>
      </c>
      <c r="E765" s="43" t="str">
        <f>IF(D765&lt;=0,"",VLOOKUP(D765,[1]FF!A:D,2,0))</f>
        <v>PARTICIPACIONES Ramo 28</v>
      </c>
      <c r="F765" s="37" t="s">
        <v>544</v>
      </c>
      <c r="G765" s="37" t="s">
        <v>458</v>
      </c>
      <c r="H765" s="49">
        <v>399001</v>
      </c>
      <c r="I765" s="44" t="str">
        <f>IF(H765&lt;=0,"",VLOOKUP(H765,[1]COG!A:H,2,0))</f>
        <v>Gastos menores</v>
      </c>
      <c r="J765" s="39">
        <v>845</v>
      </c>
      <c r="K765" s="39">
        <v>753</v>
      </c>
      <c r="L765" s="50"/>
      <c r="M765" s="50"/>
      <c r="N765" s="1">
        <f>Tabla5[[#This Row],[TRIMESTRE  I]]+Tabla5[[#This Row],[TRIMESTRE II]]+Tabla5[[#This Row],[TRIMESTRE III]]+Tabla5[[#This Row],[TRIMESTRE IV]]</f>
        <v>1598</v>
      </c>
      <c r="O765" s="39"/>
      <c r="P765" s="39"/>
      <c r="Q765" s="59"/>
    </row>
    <row r="766" spans="2:17" ht="33.75" x14ac:dyDescent="0.2">
      <c r="B766" s="46">
        <v>508066</v>
      </c>
      <c r="C766" s="47" t="s">
        <v>523</v>
      </c>
      <c r="D766" s="48">
        <v>530</v>
      </c>
      <c r="E766" s="43" t="str">
        <f>IF(D766&lt;=0,"",VLOOKUP(D766,[1]FF!A:D,2,0))</f>
        <v>PARTICIPACIONES Ramo 28</v>
      </c>
      <c r="F766" s="37" t="s">
        <v>545</v>
      </c>
      <c r="G766" s="37" t="s">
        <v>458</v>
      </c>
      <c r="H766" s="49">
        <v>311001</v>
      </c>
      <c r="I766" s="44" t="str">
        <f>IF(H766&lt;=0,"",VLOOKUP(H766,[1]COG!A:H,2,0))</f>
        <v>Servicio de energía eléctrica</v>
      </c>
      <c r="J766" s="39">
        <v>4053</v>
      </c>
      <c r="K766" s="39">
        <v>1351</v>
      </c>
      <c r="L766" s="50"/>
      <c r="M766" s="50"/>
      <c r="N766" s="1">
        <f>Tabla5[[#This Row],[TRIMESTRE  I]]+Tabla5[[#This Row],[TRIMESTRE II]]+Tabla5[[#This Row],[TRIMESTRE III]]+Tabla5[[#This Row],[TRIMESTRE IV]]</f>
        <v>5404</v>
      </c>
      <c r="O766" s="39"/>
      <c r="P766" s="39"/>
      <c r="Q766" s="59"/>
    </row>
    <row r="767" spans="2:17" ht="33.75" x14ac:dyDescent="0.2">
      <c r="B767" s="46">
        <v>508066</v>
      </c>
      <c r="C767" s="47" t="s">
        <v>523</v>
      </c>
      <c r="D767" s="48">
        <v>530</v>
      </c>
      <c r="E767" s="43" t="str">
        <f>IF(D767&lt;=0,"",VLOOKUP(D767,[1]FF!A:D,2,0))</f>
        <v>PARTICIPACIONES Ramo 28</v>
      </c>
      <c r="F767" s="37" t="s">
        <v>545</v>
      </c>
      <c r="G767" s="37" t="s">
        <v>458</v>
      </c>
      <c r="H767" s="49">
        <v>314001</v>
      </c>
      <c r="I767" s="44" t="str">
        <f>IF(H767&lt;=0,"",VLOOKUP(H767,[1]COG!A:H,2,0))</f>
        <v>Servicio telefónico</v>
      </c>
      <c r="J767" s="39">
        <v>26772</v>
      </c>
      <c r="K767" s="39">
        <v>15280</v>
      </c>
      <c r="L767" s="50"/>
      <c r="M767" s="50"/>
      <c r="N767" s="1">
        <f>Tabla5[[#This Row],[TRIMESTRE  I]]+Tabla5[[#This Row],[TRIMESTRE II]]+Tabla5[[#This Row],[TRIMESTRE III]]+Tabla5[[#This Row],[TRIMESTRE IV]]</f>
        <v>42052</v>
      </c>
      <c r="O767" s="39"/>
      <c r="P767" s="39"/>
      <c r="Q767" s="59"/>
    </row>
    <row r="768" spans="2:17" ht="33.75" x14ac:dyDescent="0.2">
      <c r="B768" s="46">
        <v>508066</v>
      </c>
      <c r="C768" s="47" t="s">
        <v>523</v>
      </c>
      <c r="D768" s="48">
        <v>530</v>
      </c>
      <c r="E768" s="43" t="str">
        <f>IF(D768&lt;=0,"",VLOOKUP(D768,[1]FF!A:D,2,0))</f>
        <v>PARTICIPACIONES Ramo 28</v>
      </c>
      <c r="F768" s="37" t="s">
        <v>545</v>
      </c>
      <c r="G768" s="37" t="s">
        <v>458</v>
      </c>
      <c r="H768" s="49">
        <v>323001</v>
      </c>
      <c r="I768" s="44" t="str">
        <f>IF(H768&lt;=0,"",VLOOKUP(H768,[1]COG!A:H,2,0))</f>
        <v>Arrendamiento de maquinaria y equipo</v>
      </c>
      <c r="J768" s="39">
        <v>4791</v>
      </c>
      <c r="K768" s="39">
        <v>4792</v>
      </c>
      <c r="L768" s="50"/>
      <c r="M768" s="50"/>
      <c r="N768" s="1">
        <f>Tabla5[[#This Row],[TRIMESTRE  I]]+Tabla5[[#This Row],[TRIMESTRE II]]+Tabla5[[#This Row],[TRIMESTRE III]]+Tabla5[[#This Row],[TRIMESTRE IV]]</f>
        <v>9583</v>
      </c>
      <c r="O768" s="39"/>
      <c r="P768" s="39"/>
      <c r="Q768" s="59"/>
    </row>
    <row r="769" spans="2:17" ht="33.75" x14ac:dyDescent="0.2">
      <c r="B769" s="46">
        <v>508066</v>
      </c>
      <c r="C769" s="47" t="s">
        <v>523</v>
      </c>
      <c r="D769" s="48">
        <v>530</v>
      </c>
      <c r="E769" s="43" t="str">
        <f>IF(D769&lt;=0,"",VLOOKUP(D769,[1]FF!A:D,2,0))</f>
        <v>PARTICIPACIONES Ramo 28</v>
      </c>
      <c r="F769" s="37" t="s">
        <v>545</v>
      </c>
      <c r="G769" s="37" t="s">
        <v>458</v>
      </c>
      <c r="H769" s="49">
        <v>331001</v>
      </c>
      <c r="I769" s="44" t="str">
        <f>IF(H769&lt;=0,"",VLOOKUP(H769,[1]COG!A:H,2,0))</f>
        <v>Asesorías</v>
      </c>
      <c r="J769" s="39">
        <v>21978</v>
      </c>
      <c r="K769" s="39">
        <v>21978</v>
      </c>
      <c r="L769" s="50"/>
      <c r="M769" s="50"/>
      <c r="N769" s="1">
        <f>Tabla5[[#This Row],[TRIMESTRE  I]]+Tabla5[[#This Row],[TRIMESTRE II]]+Tabla5[[#This Row],[TRIMESTRE III]]+Tabla5[[#This Row],[TRIMESTRE IV]]</f>
        <v>43956</v>
      </c>
      <c r="O769" s="39"/>
      <c r="P769" s="39"/>
      <c r="Q769" s="59"/>
    </row>
    <row r="770" spans="2:17" ht="33.75" x14ac:dyDescent="0.2">
      <c r="B770" s="46">
        <v>508066</v>
      </c>
      <c r="C770" s="47" t="s">
        <v>523</v>
      </c>
      <c r="D770" s="48">
        <v>530</v>
      </c>
      <c r="E770" s="43" t="str">
        <f>IF(D770&lt;=0,"",VLOOKUP(D770,[1]FF!A:D,2,0))</f>
        <v>PARTICIPACIONES Ramo 28</v>
      </c>
      <c r="F770" s="37" t="s">
        <v>545</v>
      </c>
      <c r="G770" s="37" t="s">
        <v>458</v>
      </c>
      <c r="H770" s="49">
        <v>334001</v>
      </c>
      <c r="I770" s="44" t="str">
        <f>IF(H770&lt;=0,"",VLOOKUP(H770,[1]COG!A:H,2,0))</f>
        <v>Cuotas e inscripciones</v>
      </c>
      <c r="J770" s="39">
        <v>3091</v>
      </c>
      <c r="K770" s="39">
        <v>2752</v>
      </c>
      <c r="L770" s="50"/>
      <c r="M770" s="50"/>
      <c r="N770" s="1">
        <f>Tabla5[[#This Row],[TRIMESTRE  I]]+Tabla5[[#This Row],[TRIMESTRE II]]+Tabla5[[#This Row],[TRIMESTRE III]]+Tabla5[[#This Row],[TRIMESTRE IV]]</f>
        <v>5843</v>
      </c>
      <c r="O770" s="39"/>
      <c r="P770" s="39"/>
      <c r="Q770" s="59"/>
    </row>
    <row r="771" spans="2:17" ht="33.75" x14ac:dyDescent="0.2">
      <c r="B771" s="46">
        <v>508066</v>
      </c>
      <c r="C771" s="47" t="s">
        <v>523</v>
      </c>
      <c r="D771" s="48">
        <v>530</v>
      </c>
      <c r="E771" s="43" t="str">
        <f>IF(D771&lt;=0,"",VLOOKUP(D771,[1]FF!A:D,2,0))</f>
        <v>PARTICIPACIONES Ramo 28</v>
      </c>
      <c r="F771" s="37" t="s">
        <v>545</v>
      </c>
      <c r="G771" s="37" t="s">
        <v>458</v>
      </c>
      <c r="H771" s="49">
        <v>345001</v>
      </c>
      <c r="I771" s="44" t="str">
        <f>IF(H771&lt;=0,"",VLOOKUP(H771,[1]COG!A:H,2,0))</f>
        <v>Seguros</v>
      </c>
      <c r="J771" s="39">
        <v>3988</v>
      </c>
      <c r="K771" s="39">
        <v>3551</v>
      </c>
      <c r="L771" s="50"/>
      <c r="M771" s="50"/>
      <c r="N771" s="1">
        <f>Tabla5[[#This Row],[TRIMESTRE  I]]+Tabla5[[#This Row],[TRIMESTRE II]]+Tabla5[[#This Row],[TRIMESTRE III]]+Tabla5[[#This Row],[TRIMESTRE IV]]</f>
        <v>7539</v>
      </c>
      <c r="O771" s="39"/>
      <c r="P771" s="39"/>
      <c r="Q771" s="59"/>
    </row>
    <row r="772" spans="2:17" ht="33.75" x14ac:dyDescent="0.2">
      <c r="B772" s="46">
        <v>508066</v>
      </c>
      <c r="C772" s="47" t="s">
        <v>523</v>
      </c>
      <c r="D772" s="48">
        <v>530</v>
      </c>
      <c r="E772" s="43" t="str">
        <f>IF(D772&lt;=0,"",VLOOKUP(D772,[1]FF!A:D,2,0))</f>
        <v>PARTICIPACIONES Ramo 28</v>
      </c>
      <c r="F772" s="37" t="s">
        <v>545</v>
      </c>
      <c r="G772" s="37" t="s">
        <v>458</v>
      </c>
      <c r="H772" s="49">
        <v>351001</v>
      </c>
      <c r="I772" s="44" t="str">
        <f>IF(H772&lt;=0,"",VLOOKUP(H772,[1]COG!A:H,2,0))</f>
        <v>Mantenimiento de inmuebles</v>
      </c>
      <c r="J772" s="39">
        <v>1839</v>
      </c>
      <c r="K772" s="39">
        <v>1856</v>
      </c>
      <c r="L772" s="50"/>
      <c r="M772" s="50"/>
      <c r="N772" s="1">
        <f>Tabla5[[#This Row],[TRIMESTRE  I]]+Tabla5[[#This Row],[TRIMESTRE II]]+Tabla5[[#This Row],[TRIMESTRE III]]+Tabla5[[#This Row],[TRIMESTRE IV]]</f>
        <v>3695</v>
      </c>
      <c r="O772" s="39"/>
      <c r="P772" s="39"/>
      <c r="Q772" s="59"/>
    </row>
    <row r="773" spans="2:17" ht="33.75" x14ac:dyDescent="0.2">
      <c r="B773" s="46">
        <v>508066</v>
      </c>
      <c r="C773" s="47" t="s">
        <v>523</v>
      </c>
      <c r="D773" s="48">
        <v>530</v>
      </c>
      <c r="E773" s="43" t="str">
        <f>IF(D773&lt;=0,"",VLOOKUP(D773,[1]FF!A:D,2,0))</f>
        <v>PARTICIPACIONES Ramo 28</v>
      </c>
      <c r="F773" s="37" t="s">
        <v>545</v>
      </c>
      <c r="G773" s="37" t="s">
        <v>458</v>
      </c>
      <c r="H773" s="49">
        <v>352001</v>
      </c>
      <c r="I773" s="44" t="str">
        <f>IF(H773&lt;=0,"",VLOOKUP(H773,[1]COG!A:H,2,0))</f>
        <v>Mantenimiento de mobiliario y equipo</v>
      </c>
      <c r="J773" s="39">
        <v>1398</v>
      </c>
      <c r="K773" s="39">
        <v>1244</v>
      </c>
      <c r="L773" s="50"/>
      <c r="M773" s="50"/>
      <c r="N773" s="1">
        <f>Tabla5[[#This Row],[TRIMESTRE  I]]+Tabla5[[#This Row],[TRIMESTRE II]]+Tabla5[[#This Row],[TRIMESTRE III]]+Tabla5[[#This Row],[TRIMESTRE IV]]</f>
        <v>2642</v>
      </c>
      <c r="O773" s="39"/>
      <c r="P773" s="39"/>
      <c r="Q773" s="59"/>
    </row>
    <row r="774" spans="2:17" ht="33.75" x14ac:dyDescent="0.2">
      <c r="B774" s="46">
        <v>508066</v>
      </c>
      <c r="C774" s="47" t="s">
        <v>523</v>
      </c>
      <c r="D774" s="48">
        <v>530</v>
      </c>
      <c r="E774" s="43" t="str">
        <f>IF(D774&lt;=0,"",VLOOKUP(D774,[1]FF!A:D,2,0))</f>
        <v>PARTICIPACIONES Ramo 28</v>
      </c>
      <c r="F774" s="37" t="s">
        <v>545</v>
      </c>
      <c r="G774" s="37" t="s">
        <v>458</v>
      </c>
      <c r="H774" s="49">
        <v>355001</v>
      </c>
      <c r="I774" s="44" t="str">
        <f>IF(H774&lt;=0,"",VLOOKUP(H774,[1]COG!A:H,2,0))</f>
        <v>Mantto. y conservación de vehículos terrestres, aéreos, marítimos, lacustres y fluviales</v>
      </c>
      <c r="J774" s="39">
        <v>36057</v>
      </c>
      <c r="K774" s="39">
        <v>34903</v>
      </c>
      <c r="L774" s="50"/>
      <c r="M774" s="50"/>
      <c r="N774" s="1">
        <f>Tabla5[[#This Row],[TRIMESTRE  I]]+Tabla5[[#This Row],[TRIMESTRE II]]+Tabla5[[#This Row],[TRIMESTRE III]]+Tabla5[[#This Row],[TRIMESTRE IV]]</f>
        <v>70960</v>
      </c>
      <c r="O774" s="39"/>
      <c r="P774" s="39"/>
      <c r="Q774" s="59"/>
    </row>
    <row r="775" spans="2:17" ht="33.75" x14ac:dyDescent="0.2">
      <c r="B775" s="46">
        <v>508066</v>
      </c>
      <c r="C775" s="47" t="s">
        <v>523</v>
      </c>
      <c r="D775" s="48">
        <v>530</v>
      </c>
      <c r="E775" s="43" t="str">
        <f>IF(D775&lt;=0,"",VLOOKUP(D775,[1]FF!A:D,2,0))</f>
        <v>PARTICIPACIONES Ramo 28</v>
      </c>
      <c r="F775" s="37" t="s">
        <v>545</v>
      </c>
      <c r="G775" s="37" t="s">
        <v>458</v>
      </c>
      <c r="H775" s="49">
        <v>371001</v>
      </c>
      <c r="I775" s="44" t="str">
        <f>IF(H775&lt;=0,"",VLOOKUP(H775,[1]COG!A:H,2,0))</f>
        <v>Pasajes aéreos</v>
      </c>
      <c r="J775" s="39">
        <v>38727</v>
      </c>
      <c r="K775" s="39">
        <v>38727</v>
      </c>
      <c r="L775" s="50"/>
      <c r="M775" s="50"/>
      <c r="N775" s="1">
        <f>Tabla5[[#This Row],[TRIMESTRE  I]]+Tabla5[[#This Row],[TRIMESTRE II]]+Tabla5[[#This Row],[TRIMESTRE III]]+Tabla5[[#This Row],[TRIMESTRE IV]]</f>
        <v>77454</v>
      </c>
      <c r="O775" s="39"/>
      <c r="P775" s="39"/>
      <c r="Q775" s="59"/>
    </row>
    <row r="776" spans="2:17" ht="33.75" x14ac:dyDescent="0.2">
      <c r="B776" s="46">
        <v>508066</v>
      </c>
      <c r="C776" s="47" t="s">
        <v>523</v>
      </c>
      <c r="D776" s="48">
        <v>530</v>
      </c>
      <c r="E776" s="43" t="str">
        <f>IF(D776&lt;=0,"",VLOOKUP(D776,[1]FF!A:D,2,0))</f>
        <v>PARTICIPACIONES Ramo 28</v>
      </c>
      <c r="F776" s="37" t="s">
        <v>545</v>
      </c>
      <c r="G776" s="37" t="s">
        <v>458</v>
      </c>
      <c r="H776" s="49">
        <v>375001</v>
      </c>
      <c r="I776" s="44" t="str">
        <f>IF(H776&lt;=0,"",VLOOKUP(H776,[1]COG!A:H,2,0))</f>
        <v>Viáticos</v>
      </c>
      <c r="J776" s="39">
        <v>13534</v>
      </c>
      <c r="K776" s="39">
        <v>12745</v>
      </c>
      <c r="L776" s="50"/>
      <c r="M776" s="50"/>
      <c r="N776" s="1">
        <f>Tabla5[[#This Row],[TRIMESTRE  I]]+Tabla5[[#This Row],[TRIMESTRE II]]+Tabla5[[#This Row],[TRIMESTRE III]]+Tabla5[[#This Row],[TRIMESTRE IV]]</f>
        <v>26279</v>
      </c>
      <c r="O776" s="39"/>
      <c r="P776" s="39"/>
      <c r="Q776" s="59"/>
    </row>
    <row r="777" spans="2:17" ht="33.75" x14ac:dyDescent="0.2">
      <c r="B777" s="46">
        <v>508066</v>
      </c>
      <c r="C777" s="47" t="s">
        <v>523</v>
      </c>
      <c r="D777" s="48">
        <v>530</v>
      </c>
      <c r="E777" s="43" t="str">
        <f>IF(D777&lt;=0,"",VLOOKUP(D777,[1]FF!A:D,2,0))</f>
        <v>PARTICIPACIONES Ramo 28</v>
      </c>
      <c r="F777" s="37" t="s">
        <v>545</v>
      </c>
      <c r="G777" s="37" t="s">
        <v>458</v>
      </c>
      <c r="H777" s="49">
        <v>382002</v>
      </c>
      <c r="I777" s="44" t="str">
        <f>IF(H777&lt;=0,"",VLOOKUP(H777,[1]COG!A:H,2,0))</f>
        <v>Gastos de recepción, conmemorativos y de orden social</v>
      </c>
      <c r="J777" s="39">
        <v>11165</v>
      </c>
      <c r="K777" s="39">
        <v>9942</v>
      </c>
      <c r="L777" s="50"/>
      <c r="M777" s="50"/>
      <c r="N777" s="1">
        <f>Tabla5[[#This Row],[TRIMESTRE  I]]+Tabla5[[#This Row],[TRIMESTRE II]]+Tabla5[[#This Row],[TRIMESTRE III]]+Tabla5[[#This Row],[TRIMESTRE IV]]</f>
        <v>21107</v>
      </c>
      <c r="O777" s="39"/>
      <c r="P777" s="39"/>
      <c r="Q777" s="59"/>
    </row>
    <row r="778" spans="2:17" ht="33.75" x14ac:dyDescent="0.2">
      <c r="B778" s="46">
        <v>508066</v>
      </c>
      <c r="C778" s="47" t="s">
        <v>523</v>
      </c>
      <c r="D778" s="48">
        <v>530</v>
      </c>
      <c r="E778" s="43" t="str">
        <f>IF(D778&lt;=0,"",VLOOKUP(D778,[1]FF!A:D,2,0))</f>
        <v>PARTICIPACIONES Ramo 28</v>
      </c>
      <c r="F778" s="37" t="s">
        <v>545</v>
      </c>
      <c r="G778" s="37" t="s">
        <v>458</v>
      </c>
      <c r="H778" s="49">
        <v>399001</v>
      </c>
      <c r="I778" s="44" t="str">
        <f>IF(H778&lt;=0,"",VLOOKUP(H778,[1]COG!A:H,2,0))</f>
        <v>Gastos menores</v>
      </c>
      <c r="J778" s="39">
        <v>1753</v>
      </c>
      <c r="K778" s="39">
        <v>1561</v>
      </c>
      <c r="L778" s="50"/>
      <c r="M778" s="50"/>
      <c r="N778" s="1">
        <f>Tabla5[[#This Row],[TRIMESTRE  I]]+Tabla5[[#This Row],[TRIMESTRE II]]+Tabla5[[#This Row],[TRIMESTRE III]]+Tabla5[[#This Row],[TRIMESTRE IV]]</f>
        <v>3314</v>
      </c>
      <c r="O778" s="39"/>
      <c r="P778" s="39"/>
      <c r="Q778" s="59"/>
    </row>
    <row r="779" spans="2:17" ht="22.5" x14ac:dyDescent="0.2">
      <c r="B779" s="46">
        <v>509067</v>
      </c>
      <c r="C779" s="47" t="s">
        <v>523</v>
      </c>
      <c r="D779" s="48">
        <v>530</v>
      </c>
      <c r="E779" s="43" t="str">
        <f>IF(D779&lt;=0,"",VLOOKUP(D779,[1]FF!A:D,2,0))</f>
        <v>PARTICIPACIONES Ramo 28</v>
      </c>
      <c r="F779" s="37" t="s">
        <v>546</v>
      </c>
      <c r="G779" s="37" t="s">
        <v>458</v>
      </c>
      <c r="H779" s="49">
        <v>311001</v>
      </c>
      <c r="I779" s="44" t="str">
        <f>IF(H779&lt;=0,"",VLOOKUP(H779,[1]COG!A:H,2,0))</f>
        <v>Servicio de energía eléctrica</v>
      </c>
      <c r="J779" s="39">
        <v>40125</v>
      </c>
      <c r="K779" s="39">
        <v>61511</v>
      </c>
      <c r="L779" s="50"/>
      <c r="M779" s="50"/>
      <c r="N779" s="1">
        <f>Tabla5[[#This Row],[TRIMESTRE  I]]+Tabla5[[#This Row],[TRIMESTRE II]]+Tabla5[[#This Row],[TRIMESTRE III]]+Tabla5[[#This Row],[TRIMESTRE IV]]</f>
        <v>101636</v>
      </c>
      <c r="O779" s="39"/>
      <c r="P779" s="39"/>
      <c r="Q779" s="59"/>
    </row>
    <row r="780" spans="2:17" ht="22.5" x14ac:dyDescent="0.2">
      <c r="B780" s="46">
        <v>509067</v>
      </c>
      <c r="C780" s="47" t="s">
        <v>523</v>
      </c>
      <c r="D780" s="48">
        <v>530</v>
      </c>
      <c r="E780" s="43" t="str">
        <f>IF(D780&lt;=0,"",VLOOKUP(D780,[1]FF!A:D,2,0))</f>
        <v>PARTICIPACIONES Ramo 28</v>
      </c>
      <c r="F780" s="37" t="s">
        <v>546</v>
      </c>
      <c r="G780" s="37" t="s">
        <v>458</v>
      </c>
      <c r="H780" s="49">
        <v>313001</v>
      </c>
      <c r="I780" s="44" t="str">
        <f>IF(H780&lt;=0,"",VLOOKUP(H780,[1]COG!A:H,2,0))</f>
        <v>Servicio de agua potable</v>
      </c>
      <c r="J780" s="39">
        <v>15702</v>
      </c>
      <c r="K780" s="39">
        <v>15702</v>
      </c>
      <c r="L780" s="50"/>
      <c r="M780" s="50"/>
      <c r="N780" s="1">
        <f>Tabla5[[#This Row],[TRIMESTRE  I]]+Tabla5[[#This Row],[TRIMESTRE II]]+Tabla5[[#This Row],[TRIMESTRE III]]+Tabla5[[#This Row],[TRIMESTRE IV]]</f>
        <v>31404</v>
      </c>
      <c r="O780" s="39"/>
      <c r="P780" s="39"/>
      <c r="Q780" s="59"/>
    </row>
    <row r="781" spans="2:17" ht="22.5" x14ac:dyDescent="0.2">
      <c r="B781" s="46">
        <v>509067</v>
      </c>
      <c r="C781" s="47" t="s">
        <v>523</v>
      </c>
      <c r="D781" s="48">
        <v>530</v>
      </c>
      <c r="E781" s="43" t="str">
        <f>IF(D781&lt;=0,"",VLOOKUP(D781,[1]FF!A:D,2,0))</f>
        <v>PARTICIPACIONES Ramo 28</v>
      </c>
      <c r="F781" s="37" t="s">
        <v>546</v>
      </c>
      <c r="G781" s="37" t="s">
        <v>458</v>
      </c>
      <c r="H781" s="49">
        <v>314001</v>
      </c>
      <c r="I781" s="44" t="str">
        <f>IF(H781&lt;=0,"",VLOOKUP(H781,[1]COG!A:H,2,0))</f>
        <v>Servicio telefónico</v>
      </c>
      <c r="J781" s="39">
        <v>12459</v>
      </c>
      <c r="K781" s="39">
        <v>9794</v>
      </c>
      <c r="L781" s="50"/>
      <c r="M781" s="50"/>
      <c r="N781" s="1">
        <f>Tabla5[[#This Row],[TRIMESTRE  I]]+Tabla5[[#This Row],[TRIMESTRE II]]+Tabla5[[#This Row],[TRIMESTRE III]]+Tabla5[[#This Row],[TRIMESTRE IV]]</f>
        <v>22253</v>
      </c>
      <c r="O781" s="39"/>
      <c r="P781" s="39"/>
      <c r="Q781" s="59"/>
    </row>
    <row r="782" spans="2:17" ht="22.5" x14ac:dyDescent="0.2">
      <c r="B782" s="46">
        <v>509067</v>
      </c>
      <c r="C782" s="47" t="s">
        <v>523</v>
      </c>
      <c r="D782" s="48">
        <v>530</v>
      </c>
      <c r="E782" s="43" t="str">
        <f>IF(D782&lt;=0,"",VLOOKUP(D782,[1]FF!A:D,2,0))</f>
        <v>PARTICIPACIONES Ramo 28</v>
      </c>
      <c r="F782" s="37" t="s">
        <v>546</v>
      </c>
      <c r="G782" s="37" t="s">
        <v>458</v>
      </c>
      <c r="H782" s="49">
        <v>323001</v>
      </c>
      <c r="I782" s="44" t="str">
        <f>IF(H782&lt;=0,"",VLOOKUP(H782,[1]COG!A:H,2,0))</f>
        <v>Arrendamiento de maquinaria y equipo</v>
      </c>
      <c r="J782" s="39">
        <v>4416</v>
      </c>
      <c r="K782" s="39">
        <v>4416</v>
      </c>
      <c r="L782" s="50"/>
      <c r="M782" s="50"/>
      <c r="N782" s="1">
        <f>Tabla5[[#This Row],[TRIMESTRE  I]]+Tabla5[[#This Row],[TRIMESTRE II]]+Tabla5[[#This Row],[TRIMESTRE III]]+Tabla5[[#This Row],[TRIMESTRE IV]]</f>
        <v>8832</v>
      </c>
      <c r="O782" s="39"/>
      <c r="P782" s="39"/>
      <c r="Q782" s="59"/>
    </row>
    <row r="783" spans="2:17" ht="22.5" x14ac:dyDescent="0.2">
      <c r="B783" s="46">
        <v>509067</v>
      </c>
      <c r="C783" s="47" t="s">
        <v>523</v>
      </c>
      <c r="D783" s="48">
        <v>530</v>
      </c>
      <c r="E783" s="43" t="str">
        <f>IF(D783&lt;=0,"",VLOOKUP(D783,[1]FF!A:D,2,0))</f>
        <v>PARTICIPACIONES Ramo 28</v>
      </c>
      <c r="F783" s="37" t="s">
        <v>546</v>
      </c>
      <c r="G783" s="37" t="s">
        <v>458</v>
      </c>
      <c r="H783" s="49">
        <v>345001</v>
      </c>
      <c r="I783" s="44" t="str">
        <f>IF(H783&lt;=0,"",VLOOKUP(H783,[1]COG!A:H,2,0))</f>
        <v>Seguros</v>
      </c>
      <c r="J783" s="39">
        <v>2214</v>
      </c>
      <c r="K783" s="39">
        <v>1973</v>
      </c>
      <c r="L783" s="50"/>
      <c r="M783" s="50"/>
      <c r="N783" s="1">
        <f>Tabla5[[#This Row],[TRIMESTRE  I]]+Tabla5[[#This Row],[TRIMESTRE II]]+Tabla5[[#This Row],[TRIMESTRE III]]+Tabla5[[#This Row],[TRIMESTRE IV]]</f>
        <v>4187</v>
      </c>
      <c r="O783" s="39"/>
      <c r="P783" s="39"/>
      <c r="Q783" s="59"/>
    </row>
    <row r="784" spans="2:17" ht="22.5" x14ac:dyDescent="0.2">
      <c r="B784" s="46">
        <v>509067</v>
      </c>
      <c r="C784" s="47" t="s">
        <v>523</v>
      </c>
      <c r="D784" s="48">
        <v>530</v>
      </c>
      <c r="E784" s="43" t="str">
        <f>IF(D784&lt;=0,"",VLOOKUP(D784,[1]FF!A:D,2,0))</f>
        <v>PARTICIPACIONES Ramo 28</v>
      </c>
      <c r="F784" s="37" t="s">
        <v>546</v>
      </c>
      <c r="G784" s="37" t="s">
        <v>458</v>
      </c>
      <c r="H784" s="49">
        <v>347001</v>
      </c>
      <c r="I784" s="44" t="str">
        <f>IF(H784&lt;=0,"",VLOOKUP(H784,[1]COG!A:H,2,0))</f>
        <v>Fletes, maniobras y almacenaje</v>
      </c>
      <c r="J784" s="39">
        <v>1649</v>
      </c>
      <c r="K784" s="39">
        <v>1472</v>
      </c>
      <c r="L784" s="50"/>
      <c r="M784" s="50"/>
      <c r="N784" s="1">
        <f>Tabla5[[#This Row],[TRIMESTRE  I]]+Tabla5[[#This Row],[TRIMESTRE II]]+Tabla5[[#This Row],[TRIMESTRE III]]+Tabla5[[#This Row],[TRIMESTRE IV]]</f>
        <v>3121</v>
      </c>
      <c r="O784" s="39"/>
      <c r="P784" s="39"/>
      <c r="Q784" s="59"/>
    </row>
    <row r="785" spans="2:17" ht="22.5" x14ac:dyDescent="0.2">
      <c r="B785" s="46">
        <v>509067</v>
      </c>
      <c r="C785" s="47" t="s">
        <v>523</v>
      </c>
      <c r="D785" s="48">
        <v>530</v>
      </c>
      <c r="E785" s="43" t="str">
        <f>IF(D785&lt;=0,"",VLOOKUP(D785,[1]FF!A:D,2,0))</f>
        <v>PARTICIPACIONES Ramo 28</v>
      </c>
      <c r="F785" s="37" t="s">
        <v>546</v>
      </c>
      <c r="G785" s="37" t="s">
        <v>458</v>
      </c>
      <c r="H785" s="49">
        <v>352001</v>
      </c>
      <c r="I785" s="44" t="str">
        <f>IF(H785&lt;=0,"",VLOOKUP(H785,[1]COG!A:H,2,0))</f>
        <v>Mantenimiento de mobiliario y equipo</v>
      </c>
      <c r="J785" s="39">
        <v>441</v>
      </c>
      <c r="K785" s="39">
        <v>393</v>
      </c>
      <c r="L785" s="50"/>
      <c r="M785" s="50"/>
      <c r="N785" s="1">
        <f>Tabla5[[#This Row],[TRIMESTRE  I]]+Tabla5[[#This Row],[TRIMESTRE II]]+Tabla5[[#This Row],[TRIMESTRE III]]+Tabla5[[#This Row],[TRIMESTRE IV]]</f>
        <v>834</v>
      </c>
      <c r="O785" s="39"/>
      <c r="P785" s="39"/>
      <c r="Q785" s="59"/>
    </row>
    <row r="786" spans="2:17" ht="27" x14ac:dyDescent="0.2">
      <c r="B786" s="46">
        <v>509067</v>
      </c>
      <c r="C786" s="47" t="s">
        <v>523</v>
      </c>
      <c r="D786" s="48">
        <v>530</v>
      </c>
      <c r="E786" s="43" t="str">
        <f>IF(D786&lt;=0,"",VLOOKUP(D786,[1]FF!A:D,2,0))</f>
        <v>PARTICIPACIONES Ramo 28</v>
      </c>
      <c r="F786" s="37" t="s">
        <v>546</v>
      </c>
      <c r="G786" s="37" t="s">
        <v>458</v>
      </c>
      <c r="H786" s="49">
        <v>355001</v>
      </c>
      <c r="I786" s="44" t="str">
        <f>IF(H786&lt;=0,"",VLOOKUP(H786,[1]COG!A:H,2,0))</f>
        <v>Mantto. y conservación de vehículos terrestres, aéreos, marítimos, lacustres y fluviales</v>
      </c>
      <c r="J786" s="39">
        <v>1395</v>
      </c>
      <c r="K786" s="39">
        <v>1242</v>
      </c>
      <c r="L786" s="50"/>
      <c r="M786" s="50"/>
      <c r="N786" s="1">
        <f>Tabla5[[#This Row],[TRIMESTRE  I]]+Tabla5[[#This Row],[TRIMESTRE II]]+Tabla5[[#This Row],[TRIMESTRE III]]+Tabla5[[#This Row],[TRIMESTRE IV]]</f>
        <v>2637</v>
      </c>
      <c r="O786" s="39"/>
      <c r="P786" s="39"/>
      <c r="Q786" s="59"/>
    </row>
    <row r="787" spans="2:17" ht="22.5" x14ac:dyDescent="0.2">
      <c r="B787" s="46">
        <v>509067</v>
      </c>
      <c r="C787" s="47" t="s">
        <v>523</v>
      </c>
      <c r="D787" s="48">
        <v>530</v>
      </c>
      <c r="E787" s="43" t="str">
        <f>IF(D787&lt;=0,"",VLOOKUP(D787,[1]FF!A:D,2,0))</f>
        <v>PARTICIPACIONES Ramo 28</v>
      </c>
      <c r="F787" s="37" t="s">
        <v>546</v>
      </c>
      <c r="G787" s="37" t="s">
        <v>458</v>
      </c>
      <c r="H787" s="49">
        <v>361002</v>
      </c>
      <c r="I787" s="44" t="str">
        <f>IF(H787&lt;=0,"",VLOOKUP(H787,[1]COG!A:H,2,0))</f>
        <v>Impresiones y publicaciones oficiales</v>
      </c>
      <c r="J787" s="39">
        <v>3339</v>
      </c>
      <c r="K787" s="39">
        <v>2974</v>
      </c>
      <c r="L787" s="50"/>
      <c r="M787" s="50"/>
      <c r="N787" s="1">
        <f>Tabla5[[#This Row],[TRIMESTRE  I]]+Tabla5[[#This Row],[TRIMESTRE II]]+Tabla5[[#This Row],[TRIMESTRE III]]+Tabla5[[#This Row],[TRIMESTRE IV]]</f>
        <v>6313</v>
      </c>
      <c r="O787" s="39"/>
      <c r="P787" s="39"/>
      <c r="Q787" s="59"/>
    </row>
    <row r="788" spans="2:17" ht="22.5" x14ac:dyDescent="0.2">
      <c r="B788" s="46">
        <v>509067</v>
      </c>
      <c r="C788" s="47" t="s">
        <v>523</v>
      </c>
      <c r="D788" s="48">
        <v>530</v>
      </c>
      <c r="E788" s="43" t="str">
        <f>IF(D788&lt;=0,"",VLOOKUP(D788,[1]FF!A:D,2,0))</f>
        <v>PARTICIPACIONES Ramo 28</v>
      </c>
      <c r="F788" s="37" t="s">
        <v>546</v>
      </c>
      <c r="G788" s="37" t="s">
        <v>458</v>
      </c>
      <c r="H788" s="49">
        <v>371001</v>
      </c>
      <c r="I788" s="44" t="str">
        <f>IF(H788&lt;=0,"",VLOOKUP(H788,[1]COG!A:H,2,0))</f>
        <v>Pasajes aéreos</v>
      </c>
      <c r="J788" s="39">
        <v>7627</v>
      </c>
      <c r="K788" s="39">
        <v>6791</v>
      </c>
      <c r="L788" s="50"/>
      <c r="M788" s="50"/>
      <c r="N788" s="1">
        <f>Tabla5[[#This Row],[TRIMESTRE  I]]+Tabla5[[#This Row],[TRIMESTRE II]]+Tabla5[[#This Row],[TRIMESTRE III]]+Tabla5[[#This Row],[TRIMESTRE IV]]</f>
        <v>14418</v>
      </c>
      <c r="O788" s="39"/>
      <c r="P788" s="39"/>
      <c r="Q788" s="59"/>
    </row>
    <row r="789" spans="2:17" ht="22.5" x14ac:dyDescent="0.2">
      <c r="B789" s="46">
        <v>509067</v>
      </c>
      <c r="C789" s="47" t="s">
        <v>523</v>
      </c>
      <c r="D789" s="48">
        <v>530</v>
      </c>
      <c r="E789" s="43" t="str">
        <f>IF(D789&lt;=0,"",VLOOKUP(D789,[1]FF!A:D,2,0))</f>
        <v>PARTICIPACIONES Ramo 28</v>
      </c>
      <c r="F789" s="37" t="s">
        <v>546</v>
      </c>
      <c r="G789" s="37" t="s">
        <v>458</v>
      </c>
      <c r="H789" s="49">
        <v>375001</v>
      </c>
      <c r="I789" s="44" t="str">
        <f>IF(H789&lt;=0,"",VLOOKUP(H789,[1]COG!A:H,2,0))</f>
        <v>Viáticos</v>
      </c>
      <c r="J789" s="39">
        <v>13600</v>
      </c>
      <c r="K789" s="39">
        <v>4729</v>
      </c>
      <c r="L789" s="50"/>
      <c r="M789" s="50"/>
      <c r="N789" s="1">
        <f>Tabla5[[#This Row],[TRIMESTRE  I]]+Tabla5[[#This Row],[TRIMESTRE II]]+Tabla5[[#This Row],[TRIMESTRE III]]+Tabla5[[#This Row],[TRIMESTRE IV]]</f>
        <v>18329</v>
      </c>
      <c r="O789" s="39"/>
      <c r="P789" s="39"/>
      <c r="Q789" s="59"/>
    </row>
    <row r="790" spans="2:17" ht="22.5" x14ac:dyDescent="0.2">
      <c r="B790" s="46">
        <v>509067</v>
      </c>
      <c r="C790" s="47" t="s">
        <v>523</v>
      </c>
      <c r="D790" s="48">
        <v>530</v>
      </c>
      <c r="E790" s="43" t="str">
        <f>IF(D790&lt;=0,"",VLOOKUP(D790,[1]FF!A:D,2,0))</f>
        <v>PARTICIPACIONES Ramo 28</v>
      </c>
      <c r="F790" s="37" t="s">
        <v>546</v>
      </c>
      <c r="G790" s="37" t="s">
        <v>458</v>
      </c>
      <c r="H790" s="49">
        <v>382002</v>
      </c>
      <c r="I790" s="44" t="str">
        <f>IF(H790&lt;=0,"",VLOOKUP(H790,[1]COG!A:H,2,0))</f>
        <v>Gastos de recepción, conmemorativos y de orden social</v>
      </c>
      <c r="J790" s="39">
        <v>4230</v>
      </c>
      <c r="K790" s="39">
        <v>3768</v>
      </c>
      <c r="L790" s="50"/>
      <c r="M790" s="50"/>
      <c r="N790" s="1">
        <f>Tabla5[[#This Row],[TRIMESTRE  I]]+Tabla5[[#This Row],[TRIMESTRE II]]+Tabla5[[#This Row],[TRIMESTRE III]]+Tabla5[[#This Row],[TRIMESTRE IV]]</f>
        <v>7998</v>
      </c>
      <c r="O790" s="39"/>
      <c r="P790" s="39"/>
      <c r="Q790" s="59"/>
    </row>
    <row r="791" spans="2:17" ht="22.5" x14ac:dyDescent="0.2">
      <c r="B791" s="46">
        <v>509067</v>
      </c>
      <c r="C791" s="47" t="s">
        <v>523</v>
      </c>
      <c r="D791" s="48">
        <v>530</v>
      </c>
      <c r="E791" s="43" t="str">
        <f>IF(D791&lt;=0,"",VLOOKUP(D791,[1]FF!A:D,2,0))</f>
        <v>PARTICIPACIONES Ramo 28</v>
      </c>
      <c r="F791" s="37" t="s">
        <v>546</v>
      </c>
      <c r="G791" s="37" t="s">
        <v>458</v>
      </c>
      <c r="H791" s="49">
        <v>399001</v>
      </c>
      <c r="I791" s="44" t="str">
        <f>IF(H791&lt;=0,"",VLOOKUP(H791,[1]COG!A:H,2,0))</f>
        <v>Gastos menores</v>
      </c>
      <c r="J791" s="39">
        <v>3702</v>
      </c>
      <c r="K791" s="39">
        <v>3296</v>
      </c>
      <c r="L791" s="50"/>
      <c r="M791" s="50"/>
      <c r="N791" s="1">
        <f>Tabla5[[#This Row],[TRIMESTRE  I]]+Tabla5[[#This Row],[TRIMESTRE II]]+Tabla5[[#This Row],[TRIMESTRE III]]+Tabla5[[#This Row],[TRIMESTRE IV]]</f>
        <v>6998</v>
      </c>
      <c r="O791" s="39"/>
      <c r="P791" s="39"/>
      <c r="Q791" s="59"/>
    </row>
    <row r="792" spans="2:17" x14ac:dyDescent="0.2">
      <c r="B792" s="46">
        <v>510068</v>
      </c>
      <c r="C792" s="47" t="s">
        <v>523</v>
      </c>
      <c r="D792" s="48">
        <v>530</v>
      </c>
      <c r="E792" s="43" t="str">
        <f>IF(D792&lt;=0,"",VLOOKUP(D792,[1]FF!A:D,2,0))</f>
        <v>PARTICIPACIONES Ramo 28</v>
      </c>
      <c r="F792" s="37" t="s">
        <v>547</v>
      </c>
      <c r="G792" s="37" t="s">
        <v>458</v>
      </c>
      <c r="H792" s="49">
        <v>314001</v>
      </c>
      <c r="I792" s="44" t="str">
        <f>IF(H792&lt;=0,"",VLOOKUP(H792,[1]COG!A:H,2,0))</f>
        <v>Servicio telefónico</v>
      </c>
      <c r="J792" s="39">
        <v>19107</v>
      </c>
      <c r="K792" s="39">
        <v>25273</v>
      </c>
      <c r="L792" s="50"/>
      <c r="M792" s="50"/>
      <c r="N792" s="1">
        <f>Tabla5[[#This Row],[TRIMESTRE  I]]+Tabla5[[#This Row],[TRIMESTRE II]]+Tabla5[[#This Row],[TRIMESTRE III]]+Tabla5[[#This Row],[TRIMESTRE IV]]</f>
        <v>44380</v>
      </c>
      <c r="O792" s="39"/>
      <c r="P792" s="39"/>
      <c r="Q792" s="59"/>
    </row>
    <row r="793" spans="2:17" x14ac:dyDescent="0.2">
      <c r="B793" s="46">
        <v>510068</v>
      </c>
      <c r="C793" s="47" t="s">
        <v>523</v>
      </c>
      <c r="D793" s="48">
        <v>530</v>
      </c>
      <c r="E793" s="43" t="str">
        <f>IF(D793&lt;=0,"",VLOOKUP(D793,[1]FF!A:D,2,0))</f>
        <v>PARTICIPACIONES Ramo 28</v>
      </c>
      <c r="F793" s="37" t="s">
        <v>547</v>
      </c>
      <c r="G793" s="37" t="s">
        <v>458</v>
      </c>
      <c r="H793" s="49">
        <v>316001</v>
      </c>
      <c r="I793" s="44" t="str">
        <f>IF(H793&lt;=0,"",VLOOKUP(H793,[1]COG!A:H,2,0))</f>
        <v>Servicios de telecomunicaciones y satélites</v>
      </c>
      <c r="J793" s="39">
        <v>295968</v>
      </c>
      <c r="K793" s="39">
        <v>134531</v>
      </c>
      <c r="L793" s="50"/>
      <c r="M793" s="50"/>
      <c r="N793" s="1">
        <f>Tabla5[[#This Row],[TRIMESTRE  I]]+Tabla5[[#This Row],[TRIMESTRE II]]+Tabla5[[#This Row],[TRIMESTRE III]]+Tabla5[[#This Row],[TRIMESTRE IV]]</f>
        <v>430499</v>
      </c>
      <c r="O793" s="39"/>
      <c r="P793" s="39"/>
      <c r="Q793" s="59"/>
    </row>
    <row r="794" spans="2:17" x14ac:dyDescent="0.2">
      <c r="B794" s="46">
        <v>510068</v>
      </c>
      <c r="C794" s="47" t="s">
        <v>523</v>
      </c>
      <c r="D794" s="48">
        <v>530</v>
      </c>
      <c r="E794" s="43" t="str">
        <f>IF(D794&lt;=0,"",VLOOKUP(D794,[1]FF!A:D,2,0))</f>
        <v>PARTICIPACIONES Ramo 28</v>
      </c>
      <c r="F794" s="37" t="s">
        <v>547</v>
      </c>
      <c r="G794" s="37" t="s">
        <v>458</v>
      </c>
      <c r="H794" s="49">
        <v>318001</v>
      </c>
      <c r="I794" s="44" t="str">
        <f>IF(H794&lt;=0,"",VLOOKUP(H794,[1]COG!A:H,2,0))</f>
        <v>Servicio postal y telegráfico</v>
      </c>
      <c r="J794" s="39">
        <v>234</v>
      </c>
      <c r="K794" s="39">
        <v>0</v>
      </c>
      <c r="L794" s="50"/>
      <c r="M794" s="50"/>
      <c r="N794" s="1">
        <f>Tabla5[[#This Row],[TRIMESTRE  I]]+Tabla5[[#This Row],[TRIMESTRE II]]+Tabla5[[#This Row],[TRIMESTRE III]]+Tabla5[[#This Row],[TRIMESTRE IV]]</f>
        <v>234</v>
      </c>
      <c r="O794" s="39"/>
      <c r="P794" s="39"/>
      <c r="Q794" s="59"/>
    </row>
    <row r="795" spans="2:17" x14ac:dyDescent="0.2">
      <c r="B795" s="46">
        <v>510068</v>
      </c>
      <c r="C795" s="47" t="s">
        <v>523</v>
      </c>
      <c r="D795" s="48">
        <v>530</v>
      </c>
      <c r="E795" s="43" t="str">
        <f>IF(D795&lt;=0,"",VLOOKUP(D795,[1]FF!A:D,2,0))</f>
        <v>PARTICIPACIONES Ramo 28</v>
      </c>
      <c r="F795" s="37" t="s">
        <v>547</v>
      </c>
      <c r="G795" s="37" t="s">
        <v>458</v>
      </c>
      <c r="H795" s="49">
        <v>323001</v>
      </c>
      <c r="I795" s="44" t="str">
        <f>IF(H795&lt;=0,"",VLOOKUP(H795,[1]COG!A:H,2,0))</f>
        <v>Arrendamiento de maquinaria y equipo</v>
      </c>
      <c r="J795" s="39">
        <v>7185</v>
      </c>
      <c r="K795" s="39">
        <v>7185</v>
      </c>
      <c r="L795" s="50"/>
      <c r="M795" s="50"/>
      <c r="N795" s="1">
        <f>Tabla5[[#This Row],[TRIMESTRE  I]]+Tabla5[[#This Row],[TRIMESTRE II]]+Tabla5[[#This Row],[TRIMESTRE III]]+Tabla5[[#This Row],[TRIMESTRE IV]]</f>
        <v>14370</v>
      </c>
      <c r="O795" s="39"/>
      <c r="P795" s="39"/>
      <c r="Q795" s="59"/>
    </row>
    <row r="796" spans="2:17" x14ac:dyDescent="0.2">
      <c r="B796" s="46">
        <v>510068</v>
      </c>
      <c r="C796" s="47" t="s">
        <v>523</v>
      </c>
      <c r="D796" s="48">
        <v>530</v>
      </c>
      <c r="E796" s="43" t="str">
        <f>IF(D796&lt;=0,"",VLOOKUP(D796,[1]FF!A:D,2,0))</f>
        <v>PARTICIPACIONES Ramo 28</v>
      </c>
      <c r="F796" s="37" t="s">
        <v>547</v>
      </c>
      <c r="G796" s="37" t="s">
        <v>458</v>
      </c>
      <c r="H796" s="49">
        <v>347001</v>
      </c>
      <c r="I796" s="44" t="str">
        <f>IF(H796&lt;=0,"",VLOOKUP(H796,[1]COG!A:H,2,0))</f>
        <v>Fletes, maniobras y almacenaje</v>
      </c>
      <c r="J796" s="39">
        <v>496</v>
      </c>
      <c r="K796" s="39">
        <v>473</v>
      </c>
      <c r="L796" s="50"/>
      <c r="M796" s="50"/>
      <c r="N796" s="1">
        <f>Tabla5[[#This Row],[TRIMESTRE  I]]+Tabla5[[#This Row],[TRIMESTRE II]]+Tabla5[[#This Row],[TRIMESTRE III]]+Tabla5[[#This Row],[TRIMESTRE IV]]</f>
        <v>969</v>
      </c>
      <c r="O796" s="39"/>
      <c r="P796" s="39"/>
      <c r="Q796" s="59"/>
    </row>
    <row r="797" spans="2:17" x14ac:dyDescent="0.2">
      <c r="B797" s="46">
        <v>510068</v>
      </c>
      <c r="C797" s="47" t="s">
        <v>523</v>
      </c>
      <c r="D797" s="48">
        <v>530</v>
      </c>
      <c r="E797" s="43" t="str">
        <f>IF(D797&lt;=0,"",VLOOKUP(D797,[1]FF!A:D,2,0))</f>
        <v>PARTICIPACIONES Ramo 28</v>
      </c>
      <c r="F797" s="37" t="s">
        <v>547</v>
      </c>
      <c r="G797" s="37" t="s">
        <v>458</v>
      </c>
      <c r="H797" s="49">
        <v>351001</v>
      </c>
      <c r="I797" s="44" t="str">
        <f>IF(H797&lt;=0,"",VLOOKUP(H797,[1]COG!A:H,2,0))</f>
        <v>Mantenimiento de inmuebles</v>
      </c>
      <c r="J797" s="39">
        <v>9199</v>
      </c>
      <c r="K797" s="39">
        <v>2189</v>
      </c>
      <c r="L797" s="50"/>
      <c r="M797" s="50"/>
      <c r="N797" s="1">
        <f>Tabla5[[#This Row],[TRIMESTRE  I]]+Tabla5[[#This Row],[TRIMESTRE II]]+Tabla5[[#This Row],[TRIMESTRE III]]+Tabla5[[#This Row],[TRIMESTRE IV]]</f>
        <v>11388</v>
      </c>
      <c r="O797" s="39"/>
      <c r="P797" s="39"/>
      <c r="Q797" s="59"/>
    </row>
    <row r="798" spans="2:17" x14ac:dyDescent="0.2">
      <c r="B798" s="46">
        <v>510068</v>
      </c>
      <c r="C798" s="47" t="s">
        <v>523</v>
      </c>
      <c r="D798" s="48">
        <v>530</v>
      </c>
      <c r="E798" s="43" t="str">
        <f>IF(D798&lt;=0,"",VLOOKUP(D798,[1]FF!A:D,2,0))</f>
        <v>PARTICIPACIONES Ramo 28</v>
      </c>
      <c r="F798" s="37" t="s">
        <v>547</v>
      </c>
      <c r="G798" s="37" t="s">
        <v>458</v>
      </c>
      <c r="H798" s="49">
        <v>351002</v>
      </c>
      <c r="I798" s="44" t="str">
        <f>IF(H798&lt;=0,"",VLOOKUP(H798,[1]COG!A:H,2,0))</f>
        <v>Fumigación de Inmuebles</v>
      </c>
      <c r="J798" s="39">
        <v>0</v>
      </c>
      <c r="K798" s="39">
        <v>0</v>
      </c>
      <c r="L798" s="50"/>
      <c r="M798" s="50"/>
      <c r="N798" s="1">
        <f>Tabla5[[#This Row],[TRIMESTRE  I]]+Tabla5[[#This Row],[TRIMESTRE II]]+Tabla5[[#This Row],[TRIMESTRE III]]+Tabla5[[#This Row],[TRIMESTRE IV]]</f>
        <v>0</v>
      </c>
      <c r="O798" s="39"/>
      <c r="P798" s="39"/>
      <c r="Q798" s="59"/>
    </row>
    <row r="799" spans="2:17" x14ac:dyDescent="0.2">
      <c r="B799" s="46">
        <v>510068</v>
      </c>
      <c r="C799" s="47" t="s">
        <v>523</v>
      </c>
      <c r="D799" s="48">
        <v>530</v>
      </c>
      <c r="E799" s="43" t="str">
        <f>IF(D799&lt;=0,"",VLOOKUP(D799,[1]FF!A:D,2,0))</f>
        <v>PARTICIPACIONES Ramo 28</v>
      </c>
      <c r="F799" s="37" t="s">
        <v>547</v>
      </c>
      <c r="G799" s="37" t="s">
        <v>458</v>
      </c>
      <c r="H799" s="49">
        <v>352001</v>
      </c>
      <c r="I799" s="44" t="str">
        <f>IF(H799&lt;=0,"",VLOOKUP(H799,[1]COG!A:H,2,0))</f>
        <v>Mantenimiento de mobiliario y equipo</v>
      </c>
      <c r="J799" s="39">
        <v>156996</v>
      </c>
      <c r="K799" s="39">
        <v>156996</v>
      </c>
      <c r="L799" s="50"/>
      <c r="M799" s="50"/>
      <c r="N799" s="1">
        <f>Tabla5[[#This Row],[TRIMESTRE  I]]+Tabla5[[#This Row],[TRIMESTRE II]]+Tabla5[[#This Row],[TRIMESTRE III]]+Tabla5[[#This Row],[TRIMESTRE IV]]</f>
        <v>313992</v>
      </c>
      <c r="O799" s="39"/>
      <c r="P799" s="39"/>
      <c r="Q799" s="59"/>
    </row>
    <row r="800" spans="2:17" x14ac:dyDescent="0.2">
      <c r="B800" s="46">
        <v>510068</v>
      </c>
      <c r="C800" s="47" t="s">
        <v>523</v>
      </c>
      <c r="D800" s="48">
        <v>530</v>
      </c>
      <c r="E800" s="43" t="str">
        <f>IF(D800&lt;=0,"",VLOOKUP(D800,[1]FF!A:D,2,0))</f>
        <v>PARTICIPACIONES Ramo 28</v>
      </c>
      <c r="F800" s="37" t="s">
        <v>547</v>
      </c>
      <c r="G800" s="37" t="s">
        <v>458</v>
      </c>
      <c r="H800" s="49">
        <v>352002</v>
      </c>
      <c r="I800" s="44" t="str">
        <f>IF(H800&lt;=0,"",VLOOKUP(H800,[1]COG!A:H,2,0))</f>
        <v>Gastos de instalación</v>
      </c>
      <c r="J800" s="39">
        <v>2308</v>
      </c>
      <c r="K800" s="39">
        <v>1639</v>
      </c>
      <c r="L800" s="50"/>
      <c r="M800" s="50"/>
      <c r="N800" s="1">
        <f>Tabla5[[#This Row],[TRIMESTRE  I]]+Tabla5[[#This Row],[TRIMESTRE II]]+Tabla5[[#This Row],[TRIMESTRE III]]+Tabla5[[#This Row],[TRIMESTRE IV]]</f>
        <v>3947</v>
      </c>
      <c r="O800" s="39"/>
      <c r="P800" s="39"/>
      <c r="Q800" s="59"/>
    </row>
    <row r="801" spans="2:17" ht="27" x14ac:dyDescent="0.2">
      <c r="B801" s="46">
        <v>510068</v>
      </c>
      <c r="C801" s="47" t="s">
        <v>523</v>
      </c>
      <c r="D801" s="48">
        <v>530</v>
      </c>
      <c r="E801" s="43" t="str">
        <f>IF(D801&lt;=0,"",VLOOKUP(D801,[1]FF!A:D,2,0))</f>
        <v>PARTICIPACIONES Ramo 28</v>
      </c>
      <c r="F801" s="37" t="s">
        <v>547</v>
      </c>
      <c r="G801" s="37" t="s">
        <v>458</v>
      </c>
      <c r="H801" s="49">
        <v>353001</v>
      </c>
      <c r="I801" s="44" t="str">
        <f>IF(H801&lt;=0,"",VLOOKUP(H801,[1]COG!A:H,2,0))</f>
        <v>Instalación, reparación y mantenimiento de equipo de cómputo y tecnología  de la información</v>
      </c>
      <c r="J801" s="39">
        <v>80000</v>
      </c>
      <c r="K801" s="39">
        <v>0</v>
      </c>
      <c r="L801" s="50"/>
      <c r="M801" s="50"/>
      <c r="N801" s="1">
        <f>Tabla5[[#This Row],[TRIMESTRE  I]]+Tabla5[[#This Row],[TRIMESTRE II]]+Tabla5[[#This Row],[TRIMESTRE III]]+Tabla5[[#This Row],[TRIMESTRE IV]]</f>
        <v>80000</v>
      </c>
      <c r="O801" s="39"/>
      <c r="P801" s="39"/>
      <c r="Q801" s="59"/>
    </row>
    <row r="802" spans="2:17" ht="27" x14ac:dyDescent="0.2">
      <c r="B802" s="46">
        <v>510068</v>
      </c>
      <c r="C802" s="47" t="s">
        <v>523</v>
      </c>
      <c r="D802" s="48">
        <v>530</v>
      </c>
      <c r="E802" s="43" t="str">
        <f>IF(D802&lt;=0,"",VLOOKUP(D802,[1]FF!A:D,2,0))</f>
        <v>PARTICIPACIONES Ramo 28</v>
      </c>
      <c r="F802" s="37" t="s">
        <v>547</v>
      </c>
      <c r="G802" s="37" t="s">
        <v>458</v>
      </c>
      <c r="H802" s="49">
        <v>355001</v>
      </c>
      <c r="I802" s="44" t="str">
        <f>IF(H802&lt;=0,"",VLOOKUP(H802,[1]COG!A:H,2,0))</f>
        <v>Mantto. y conservación de vehículos terrestres, aéreos, marítimos, lacustres y fluviales</v>
      </c>
      <c r="J802" s="39">
        <v>89108</v>
      </c>
      <c r="K802" s="39">
        <v>85290</v>
      </c>
      <c r="L802" s="50"/>
      <c r="M802" s="50"/>
      <c r="N802" s="1">
        <f>Tabla5[[#This Row],[TRIMESTRE  I]]+Tabla5[[#This Row],[TRIMESTRE II]]+Tabla5[[#This Row],[TRIMESTRE III]]+Tabla5[[#This Row],[TRIMESTRE IV]]</f>
        <v>174398</v>
      </c>
      <c r="O802" s="39"/>
      <c r="P802" s="39"/>
      <c r="Q802" s="59"/>
    </row>
    <row r="803" spans="2:17" ht="18" x14ac:dyDescent="0.2">
      <c r="B803" s="46">
        <v>510068</v>
      </c>
      <c r="C803" s="47" t="s">
        <v>523</v>
      </c>
      <c r="D803" s="48">
        <v>530</v>
      </c>
      <c r="E803" s="43" t="str">
        <f>IF(D803&lt;=0,"",VLOOKUP(D803,[1]FF!A:D,2,0))</f>
        <v>PARTICIPACIONES Ramo 28</v>
      </c>
      <c r="F803" s="37" t="s">
        <v>547</v>
      </c>
      <c r="G803" s="37" t="s">
        <v>458</v>
      </c>
      <c r="H803" s="49">
        <v>363001</v>
      </c>
      <c r="I803" s="44" t="str">
        <f>IF(H803&lt;=0,"",VLOOKUP(H803,[1]COG!A:H,2,0))</f>
        <v>Servicios de Producción y Diseño Publicitario</v>
      </c>
      <c r="J803" s="39">
        <v>54819</v>
      </c>
      <c r="K803" s="39">
        <v>48816</v>
      </c>
      <c r="L803" s="50"/>
      <c r="M803" s="50"/>
      <c r="N803" s="1">
        <f>Tabla5[[#This Row],[TRIMESTRE  I]]+Tabla5[[#This Row],[TRIMESTRE II]]+Tabla5[[#This Row],[TRIMESTRE III]]+Tabla5[[#This Row],[TRIMESTRE IV]]</f>
        <v>103635</v>
      </c>
      <c r="O803" s="39"/>
      <c r="P803" s="39"/>
      <c r="Q803" s="59"/>
    </row>
    <row r="804" spans="2:17" x14ac:dyDescent="0.2">
      <c r="B804" s="46">
        <v>510068</v>
      </c>
      <c r="C804" s="47" t="s">
        <v>523</v>
      </c>
      <c r="D804" s="48">
        <v>530</v>
      </c>
      <c r="E804" s="43" t="str">
        <f>IF(D804&lt;=0,"",VLOOKUP(D804,[1]FF!A:D,2,0))</f>
        <v>PARTICIPACIONES Ramo 28</v>
      </c>
      <c r="F804" s="37" t="s">
        <v>547</v>
      </c>
      <c r="G804" s="37" t="s">
        <v>458</v>
      </c>
      <c r="H804" s="49">
        <v>371001</v>
      </c>
      <c r="I804" s="44" t="str">
        <f>IF(H804&lt;=0,"",VLOOKUP(H804,[1]COG!A:H,2,0))</f>
        <v>Pasajes aéreos</v>
      </c>
      <c r="J804" s="39">
        <v>7368</v>
      </c>
      <c r="K804" s="39">
        <v>6563</v>
      </c>
      <c r="L804" s="50"/>
      <c r="M804" s="50"/>
      <c r="N804" s="1">
        <f>Tabla5[[#This Row],[TRIMESTRE  I]]+Tabla5[[#This Row],[TRIMESTRE II]]+Tabla5[[#This Row],[TRIMESTRE III]]+Tabla5[[#This Row],[TRIMESTRE IV]]</f>
        <v>13931</v>
      </c>
      <c r="O804" s="39"/>
      <c r="P804" s="39"/>
      <c r="Q804" s="59"/>
    </row>
    <row r="805" spans="2:17" x14ac:dyDescent="0.2">
      <c r="B805" s="46">
        <v>510068</v>
      </c>
      <c r="C805" s="47" t="s">
        <v>523</v>
      </c>
      <c r="D805" s="48">
        <v>530</v>
      </c>
      <c r="E805" s="43" t="str">
        <f>IF(D805&lt;=0,"",VLOOKUP(D805,[1]FF!A:D,2,0))</f>
        <v>PARTICIPACIONES Ramo 28</v>
      </c>
      <c r="F805" s="37" t="s">
        <v>547</v>
      </c>
      <c r="G805" s="37" t="s">
        <v>458</v>
      </c>
      <c r="H805" s="49">
        <v>375001</v>
      </c>
      <c r="I805" s="44" t="str">
        <f>IF(H805&lt;=0,"",VLOOKUP(H805,[1]COG!A:H,2,0))</f>
        <v>Viáticos</v>
      </c>
      <c r="J805" s="39">
        <v>110534</v>
      </c>
      <c r="K805" s="39">
        <v>13319</v>
      </c>
      <c r="L805" s="50"/>
      <c r="M805" s="50"/>
      <c r="N805" s="1">
        <f>Tabla5[[#This Row],[TRIMESTRE  I]]+Tabla5[[#This Row],[TRIMESTRE II]]+Tabla5[[#This Row],[TRIMESTRE III]]+Tabla5[[#This Row],[TRIMESTRE IV]]</f>
        <v>123853</v>
      </c>
      <c r="O805" s="39"/>
      <c r="P805" s="39"/>
      <c r="Q805" s="59"/>
    </row>
    <row r="806" spans="2:17" x14ac:dyDescent="0.2">
      <c r="B806" s="46">
        <v>510068</v>
      </c>
      <c r="C806" s="47" t="s">
        <v>523</v>
      </c>
      <c r="D806" s="48">
        <v>530</v>
      </c>
      <c r="E806" s="43" t="str">
        <f>IF(D806&lt;=0,"",VLOOKUP(D806,[1]FF!A:D,2,0))</f>
        <v>PARTICIPACIONES Ramo 28</v>
      </c>
      <c r="F806" s="37" t="s">
        <v>547</v>
      </c>
      <c r="G806" s="37" t="s">
        <v>458</v>
      </c>
      <c r="H806" s="49">
        <v>379001</v>
      </c>
      <c r="I806" s="44" t="str">
        <f>IF(H806&lt;=0,"",VLOOKUP(H806,[1]COG!A:H,2,0))</f>
        <v>Traslado de vehículos</v>
      </c>
      <c r="J806" s="39">
        <v>535</v>
      </c>
      <c r="K806" s="39">
        <v>0</v>
      </c>
      <c r="L806" s="50"/>
      <c r="M806" s="50"/>
      <c r="N806" s="1">
        <f>Tabla5[[#This Row],[TRIMESTRE  I]]+Tabla5[[#This Row],[TRIMESTRE II]]+Tabla5[[#This Row],[TRIMESTRE III]]+Tabla5[[#This Row],[TRIMESTRE IV]]</f>
        <v>535</v>
      </c>
      <c r="O806" s="39"/>
      <c r="P806" s="39"/>
      <c r="Q806" s="59"/>
    </row>
    <row r="807" spans="2:17" ht="18" x14ac:dyDescent="0.2">
      <c r="B807" s="46">
        <v>510068</v>
      </c>
      <c r="C807" s="47" t="s">
        <v>523</v>
      </c>
      <c r="D807" s="48">
        <v>530</v>
      </c>
      <c r="E807" s="43" t="str">
        <f>IF(D807&lt;=0,"",VLOOKUP(D807,[1]FF!A:D,2,0))</f>
        <v>PARTICIPACIONES Ramo 28</v>
      </c>
      <c r="F807" s="37" t="s">
        <v>547</v>
      </c>
      <c r="G807" s="37" t="s">
        <v>458</v>
      </c>
      <c r="H807" s="49">
        <v>382002</v>
      </c>
      <c r="I807" s="44" t="str">
        <f>IF(H807&lt;=0,"",VLOOKUP(H807,[1]COG!A:H,2,0))</f>
        <v>Gastos de recepción, conmemorativos y de orden social</v>
      </c>
      <c r="J807" s="39">
        <v>404</v>
      </c>
      <c r="K807" s="39">
        <v>0</v>
      </c>
      <c r="L807" s="50"/>
      <c r="M807" s="50"/>
      <c r="N807" s="1">
        <f>Tabla5[[#This Row],[TRIMESTRE  I]]+Tabla5[[#This Row],[TRIMESTRE II]]+Tabla5[[#This Row],[TRIMESTRE III]]+Tabla5[[#This Row],[TRIMESTRE IV]]</f>
        <v>404</v>
      </c>
      <c r="O807" s="39"/>
      <c r="P807" s="39"/>
      <c r="Q807" s="59"/>
    </row>
    <row r="808" spans="2:17" x14ac:dyDescent="0.2">
      <c r="B808" s="46">
        <v>510068</v>
      </c>
      <c r="C808" s="47" t="s">
        <v>523</v>
      </c>
      <c r="D808" s="48">
        <v>530</v>
      </c>
      <c r="E808" s="43" t="str">
        <f>IF(D808&lt;=0,"",VLOOKUP(D808,[1]FF!A:D,2,0))</f>
        <v>PARTICIPACIONES Ramo 28</v>
      </c>
      <c r="F808" s="37" t="s">
        <v>547</v>
      </c>
      <c r="G808" s="37" t="s">
        <v>458</v>
      </c>
      <c r="H808" s="49">
        <v>392001</v>
      </c>
      <c r="I808" s="44" t="str">
        <f>IF(H808&lt;=0,"",VLOOKUP(H808,[1]COG!A:H,2,0))</f>
        <v>Impuestos y derechos</v>
      </c>
      <c r="J808" s="39">
        <v>12852</v>
      </c>
      <c r="K808" s="39">
        <v>11445</v>
      </c>
      <c r="L808" s="50"/>
      <c r="M808" s="50"/>
      <c r="N808" s="1">
        <f>Tabla5[[#This Row],[TRIMESTRE  I]]+Tabla5[[#This Row],[TRIMESTRE II]]+Tabla5[[#This Row],[TRIMESTRE III]]+Tabla5[[#This Row],[TRIMESTRE IV]]</f>
        <v>24297</v>
      </c>
      <c r="O808" s="39"/>
      <c r="P808" s="39"/>
      <c r="Q808" s="59"/>
    </row>
    <row r="809" spans="2:17" x14ac:dyDescent="0.2">
      <c r="B809" s="46">
        <v>510068</v>
      </c>
      <c r="C809" s="47" t="s">
        <v>523</v>
      </c>
      <c r="D809" s="48">
        <v>530</v>
      </c>
      <c r="E809" s="43" t="str">
        <f>IF(D809&lt;=0,"",VLOOKUP(D809,[1]FF!A:D,2,0))</f>
        <v>PARTICIPACIONES Ramo 28</v>
      </c>
      <c r="F809" s="37" t="s">
        <v>547</v>
      </c>
      <c r="G809" s="37" t="s">
        <v>458</v>
      </c>
      <c r="H809" s="49">
        <v>399001</v>
      </c>
      <c r="I809" s="44" t="str">
        <f>IF(H809&lt;=0,"",VLOOKUP(H809,[1]COG!A:H,2,0))</f>
        <v>Gastos menores</v>
      </c>
      <c r="J809" s="39">
        <v>1527</v>
      </c>
      <c r="K809" s="39">
        <v>2629</v>
      </c>
      <c r="L809" s="50"/>
      <c r="M809" s="50"/>
      <c r="N809" s="1">
        <f>Tabla5[[#This Row],[TRIMESTRE  I]]+Tabla5[[#This Row],[TRIMESTRE II]]+Tabla5[[#This Row],[TRIMESTRE III]]+Tabla5[[#This Row],[TRIMESTRE IV]]</f>
        <v>4156</v>
      </c>
      <c r="O809" s="39"/>
      <c r="P809" s="39"/>
      <c r="Q809" s="59"/>
    </row>
    <row r="810" spans="2:17" ht="33.75" x14ac:dyDescent="0.2">
      <c r="B810" s="46">
        <v>510072</v>
      </c>
      <c r="C810" s="47" t="s">
        <v>523</v>
      </c>
      <c r="D810" s="48">
        <v>530</v>
      </c>
      <c r="E810" s="43" t="str">
        <f>IF(D810&lt;=0,"",VLOOKUP(D810,[1]FF!A:D,2,0))</f>
        <v>PARTICIPACIONES Ramo 28</v>
      </c>
      <c r="F810" s="37" t="s">
        <v>572</v>
      </c>
      <c r="G810" s="37" t="s">
        <v>458</v>
      </c>
      <c r="H810" s="49">
        <v>314001</v>
      </c>
      <c r="I810" s="44" t="str">
        <f>IF(H810&lt;=0,"",VLOOKUP(H810,[1]COG!A:H,2,0))</f>
        <v>Servicio telefónico</v>
      </c>
      <c r="J810" s="39">
        <v>17205</v>
      </c>
      <c r="K810" s="39">
        <v>13489</v>
      </c>
      <c r="L810" s="50"/>
      <c r="M810" s="50"/>
      <c r="N810" s="1">
        <f>Tabla5[[#This Row],[TRIMESTRE  I]]+Tabla5[[#This Row],[TRIMESTRE II]]+Tabla5[[#This Row],[TRIMESTRE III]]+Tabla5[[#This Row],[TRIMESTRE IV]]</f>
        <v>30694</v>
      </c>
      <c r="O810" s="39"/>
      <c r="P810" s="39"/>
      <c r="Q810" s="59"/>
    </row>
    <row r="811" spans="2:17" ht="33.75" x14ac:dyDescent="0.2">
      <c r="B811" s="46">
        <v>510072</v>
      </c>
      <c r="C811" s="47" t="s">
        <v>523</v>
      </c>
      <c r="D811" s="48">
        <v>530</v>
      </c>
      <c r="E811" s="43" t="str">
        <f>IF(D811&lt;=0,"",VLOOKUP(D811,[1]FF!A:D,2,0))</f>
        <v>PARTICIPACIONES Ramo 28</v>
      </c>
      <c r="F811" s="37" t="s">
        <v>572</v>
      </c>
      <c r="G811" s="37" t="s">
        <v>458</v>
      </c>
      <c r="H811" s="49">
        <v>334001</v>
      </c>
      <c r="I811" s="44" t="str">
        <f>IF(H811&lt;=0,"",VLOOKUP(H811,[1]COG!A:H,2,0))</f>
        <v>Cuotas e inscripciones</v>
      </c>
      <c r="J811" s="39">
        <v>76640</v>
      </c>
      <c r="K811" s="39">
        <v>68249</v>
      </c>
      <c r="L811" s="50"/>
      <c r="M811" s="50"/>
      <c r="N811" s="1">
        <f>Tabla5[[#This Row],[TRIMESTRE  I]]+Tabla5[[#This Row],[TRIMESTRE II]]+Tabla5[[#This Row],[TRIMESTRE III]]+Tabla5[[#This Row],[TRIMESTRE IV]]</f>
        <v>144889</v>
      </c>
      <c r="O811" s="39"/>
      <c r="P811" s="39"/>
      <c r="Q811" s="59"/>
    </row>
    <row r="812" spans="2:17" ht="33.75" x14ac:dyDescent="0.2">
      <c r="B812" s="46">
        <v>510072</v>
      </c>
      <c r="C812" s="47" t="s">
        <v>523</v>
      </c>
      <c r="D812" s="48">
        <v>530</v>
      </c>
      <c r="E812" s="43" t="str">
        <f>IF(D812&lt;=0,"",VLOOKUP(D812,[1]FF!A:D,2,0))</f>
        <v>PARTICIPACIONES Ramo 28</v>
      </c>
      <c r="F812" s="37" t="s">
        <v>572</v>
      </c>
      <c r="G812" s="37" t="s">
        <v>458</v>
      </c>
      <c r="H812" s="49">
        <v>351001</v>
      </c>
      <c r="I812" s="44" t="str">
        <f>IF(H812&lt;=0,"",VLOOKUP(H812,[1]COG!A:H,2,0))</f>
        <v>Mantenimiento de inmuebles</v>
      </c>
      <c r="J812" s="39">
        <v>376</v>
      </c>
      <c r="K812" s="39">
        <v>335</v>
      </c>
      <c r="L812" s="50"/>
      <c r="M812" s="50"/>
      <c r="N812" s="1">
        <f>Tabla5[[#This Row],[TRIMESTRE  I]]+Tabla5[[#This Row],[TRIMESTRE II]]+Tabla5[[#This Row],[TRIMESTRE III]]+Tabla5[[#This Row],[TRIMESTRE IV]]</f>
        <v>711</v>
      </c>
      <c r="O812" s="39"/>
      <c r="P812" s="39"/>
      <c r="Q812" s="59"/>
    </row>
    <row r="813" spans="2:17" ht="33.75" x14ac:dyDescent="0.2">
      <c r="B813" s="46">
        <v>510072</v>
      </c>
      <c r="C813" s="47" t="s">
        <v>523</v>
      </c>
      <c r="D813" s="48">
        <v>530</v>
      </c>
      <c r="E813" s="43" t="str">
        <f>IF(D813&lt;=0,"",VLOOKUP(D813,[1]FF!A:D,2,0))</f>
        <v>PARTICIPACIONES Ramo 28</v>
      </c>
      <c r="F813" s="37" t="s">
        <v>572</v>
      </c>
      <c r="G813" s="37" t="s">
        <v>458</v>
      </c>
      <c r="H813" s="49">
        <v>352001</v>
      </c>
      <c r="I813" s="44" t="str">
        <f>IF(H813&lt;=0,"",VLOOKUP(H813,[1]COG!A:H,2,0))</f>
        <v>Mantenimiento de mobiliario y equipo</v>
      </c>
      <c r="J813" s="39">
        <v>719</v>
      </c>
      <c r="K813" s="39">
        <v>640</v>
      </c>
      <c r="L813" s="50"/>
      <c r="M813" s="50"/>
      <c r="N813" s="1">
        <f>Tabla5[[#This Row],[TRIMESTRE  I]]+Tabla5[[#This Row],[TRIMESTRE II]]+Tabla5[[#This Row],[TRIMESTRE III]]+Tabla5[[#This Row],[TRIMESTRE IV]]</f>
        <v>1359</v>
      </c>
      <c r="O813" s="39"/>
      <c r="P813" s="39"/>
      <c r="Q813" s="59"/>
    </row>
    <row r="814" spans="2:17" ht="33.75" x14ac:dyDescent="0.2">
      <c r="B814" s="46">
        <v>510072</v>
      </c>
      <c r="C814" s="47" t="s">
        <v>523</v>
      </c>
      <c r="D814" s="48">
        <v>530</v>
      </c>
      <c r="E814" s="43" t="str">
        <f>IF(D814&lt;=0,"",VLOOKUP(D814,[1]FF!A:D,2,0))</f>
        <v>PARTICIPACIONES Ramo 28</v>
      </c>
      <c r="F814" s="37" t="s">
        <v>572</v>
      </c>
      <c r="G814" s="37" t="s">
        <v>458</v>
      </c>
      <c r="H814" s="49">
        <v>352002</v>
      </c>
      <c r="I814" s="44" t="str">
        <f>IF(H814&lt;=0,"",VLOOKUP(H814,[1]COG!A:H,2,0))</f>
        <v>Gastos de instalación</v>
      </c>
      <c r="J814" s="39">
        <v>622</v>
      </c>
      <c r="K814" s="39">
        <v>553</v>
      </c>
      <c r="L814" s="50"/>
      <c r="M814" s="50"/>
      <c r="N814" s="1">
        <f>Tabla5[[#This Row],[TRIMESTRE  I]]+Tabla5[[#This Row],[TRIMESTRE II]]+Tabla5[[#This Row],[TRIMESTRE III]]+Tabla5[[#This Row],[TRIMESTRE IV]]</f>
        <v>1175</v>
      </c>
      <c r="O814" s="39"/>
      <c r="P814" s="39"/>
      <c r="Q814" s="59"/>
    </row>
    <row r="815" spans="2:17" ht="33.75" x14ac:dyDescent="0.2">
      <c r="B815" s="46">
        <v>510072</v>
      </c>
      <c r="C815" s="47" t="s">
        <v>523</v>
      </c>
      <c r="D815" s="48">
        <v>530</v>
      </c>
      <c r="E815" s="43" t="str">
        <f>IF(D815&lt;=0,"",VLOOKUP(D815,[1]FF!A:D,2,0))</f>
        <v>PARTICIPACIONES Ramo 28</v>
      </c>
      <c r="F815" s="37" t="s">
        <v>572</v>
      </c>
      <c r="G815" s="37" t="s">
        <v>458</v>
      </c>
      <c r="H815" s="49">
        <v>355001</v>
      </c>
      <c r="I815" s="44" t="str">
        <f>IF(H815&lt;=0,"",VLOOKUP(H815,[1]COG!A:H,2,0))</f>
        <v>Mantto. y conservación de vehículos terrestres, aéreos, marítimos, lacustres y fluviales</v>
      </c>
      <c r="J815" s="39">
        <v>1324</v>
      </c>
      <c r="K815" s="39">
        <v>1179</v>
      </c>
      <c r="L815" s="50"/>
      <c r="M815" s="50"/>
      <c r="N815" s="1">
        <f>Tabla5[[#This Row],[TRIMESTRE  I]]+Tabla5[[#This Row],[TRIMESTRE II]]+Tabla5[[#This Row],[TRIMESTRE III]]+Tabla5[[#This Row],[TRIMESTRE IV]]</f>
        <v>2503</v>
      </c>
      <c r="O815" s="39"/>
      <c r="P815" s="39"/>
      <c r="Q815" s="59"/>
    </row>
    <row r="816" spans="2:17" ht="33.75" x14ac:dyDescent="0.2">
      <c r="B816" s="46">
        <v>510072</v>
      </c>
      <c r="C816" s="47" t="s">
        <v>523</v>
      </c>
      <c r="D816" s="48">
        <v>530</v>
      </c>
      <c r="E816" s="43" t="str">
        <f>IF(D816&lt;=0,"",VLOOKUP(D816,[1]FF!A:D,2,0))</f>
        <v>PARTICIPACIONES Ramo 28</v>
      </c>
      <c r="F816" s="37" t="s">
        <v>572</v>
      </c>
      <c r="G816" s="37" t="s">
        <v>458</v>
      </c>
      <c r="H816" s="49">
        <v>371001</v>
      </c>
      <c r="I816" s="44" t="str">
        <f>IF(H816&lt;=0,"",VLOOKUP(H816,[1]COG!A:H,2,0))</f>
        <v>Pasajes aéreos</v>
      </c>
      <c r="J816" s="39">
        <v>430</v>
      </c>
      <c r="K816" s="39">
        <v>382</v>
      </c>
      <c r="L816" s="50"/>
      <c r="M816" s="50"/>
      <c r="N816" s="1">
        <f>Tabla5[[#This Row],[TRIMESTRE  I]]+Tabla5[[#This Row],[TRIMESTRE II]]+Tabla5[[#This Row],[TRIMESTRE III]]+Tabla5[[#This Row],[TRIMESTRE IV]]</f>
        <v>812</v>
      </c>
      <c r="O816" s="39"/>
      <c r="P816" s="39"/>
      <c r="Q816" s="59"/>
    </row>
    <row r="817" spans="2:17" ht="33.75" x14ac:dyDescent="0.2">
      <c r="B817" s="46">
        <v>510072</v>
      </c>
      <c r="C817" s="47" t="s">
        <v>523</v>
      </c>
      <c r="D817" s="48">
        <v>530</v>
      </c>
      <c r="E817" s="43" t="str">
        <f>IF(D817&lt;=0,"",VLOOKUP(D817,[1]FF!A:D,2,0))</f>
        <v>PARTICIPACIONES Ramo 28</v>
      </c>
      <c r="F817" s="37" t="s">
        <v>572</v>
      </c>
      <c r="G817" s="37" t="s">
        <v>458</v>
      </c>
      <c r="H817" s="49">
        <v>375001</v>
      </c>
      <c r="I817" s="44" t="str">
        <f>IF(H817&lt;=0,"",VLOOKUP(H817,[1]COG!A:H,2,0))</f>
        <v>Viáticos</v>
      </c>
      <c r="J817" s="39">
        <v>5783</v>
      </c>
      <c r="K817" s="39">
        <v>5149</v>
      </c>
      <c r="L817" s="50"/>
      <c r="M817" s="50"/>
      <c r="N817" s="1">
        <f>Tabla5[[#This Row],[TRIMESTRE  I]]+Tabla5[[#This Row],[TRIMESTRE II]]+Tabla5[[#This Row],[TRIMESTRE III]]+Tabla5[[#This Row],[TRIMESTRE IV]]</f>
        <v>10932</v>
      </c>
      <c r="O817" s="39"/>
      <c r="P817" s="39"/>
      <c r="Q817" s="59"/>
    </row>
    <row r="818" spans="2:17" ht="33.75" x14ac:dyDescent="0.2">
      <c r="B818" s="46">
        <v>510072</v>
      </c>
      <c r="C818" s="47" t="s">
        <v>523</v>
      </c>
      <c r="D818" s="48">
        <v>530</v>
      </c>
      <c r="E818" s="43" t="str">
        <f>IF(D818&lt;=0,"",VLOOKUP(D818,[1]FF!A:D,2,0))</f>
        <v>PARTICIPACIONES Ramo 28</v>
      </c>
      <c r="F818" s="37" t="s">
        <v>572</v>
      </c>
      <c r="G818" s="37" t="s">
        <v>458</v>
      </c>
      <c r="H818" s="49">
        <v>382002</v>
      </c>
      <c r="I818" s="44" t="str">
        <f>IF(H818&lt;=0,"",VLOOKUP(H818,[1]COG!A:H,2,0))</f>
        <v>Gastos de recepción, conmemorativos y de orden social</v>
      </c>
      <c r="J818" s="39">
        <v>400</v>
      </c>
      <c r="K818" s="39">
        <v>261</v>
      </c>
      <c r="L818" s="50"/>
      <c r="M818" s="50"/>
      <c r="N818" s="1">
        <f>Tabla5[[#This Row],[TRIMESTRE  I]]+Tabla5[[#This Row],[TRIMESTRE II]]+Tabla5[[#This Row],[TRIMESTRE III]]+Tabla5[[#This Row],[TRIMESTRE IV]]</f>
        <v>661</v>
      </c>
      <c r="O818" s="39"/>
      <c r="P818" s="39"/>
      <c r="Q818" s="59"/>
    </row>
    <row r="819" spans="2:17" ht="33.75" x14ac:dyDescent="0.2">
      <c r="B819" s="46">
        <v>510072</v>
      </c>
      <c r="C819" s="47" t="s">
        <v>523</v>
      </c>
      <c r="D819" s="48">
        <v>530</v>
      </c>
      <c r="E819" s="43" t="str">
        <f>IF(D819&lt;=0,"",VLOOKUP(D819,[1]FF!A:D,2,0))</f>
        <v>PARTICIPACIONES Ramo 28</v>
      </c>
      <c r="F819" s="37" t="s">
        <v>572</v>
      </c>
      <c r="G819" s="37" t="s">
        <v>458</v>
      </c>
      <c r="H819" s="49">
        <v>399001</v>
      </c>
      <c r="I819" s="44" t="str">
        <f>IF(H819&lt;=0,"",VLOOKUP(H819,[1]COG!A:H,2,0))</f>
        <v>Gastos menores</v>
      </c>
      <c r="J819" s="39">
        <v>521</v>
      </c>
      <c r="K819" s="39">
        <v>465</v>
      </c>
      <c r="L819" s="50"/>
      <c r="M819" s="50"/>
      <c r="N819" s="1">
        <f>Tabla5[[#This Row],[TRIMESTRE  I]]+Tabla5[[#This Row],[TRIMESTRE II]]+Tabla5[[#This Row],[TRIMESTRE III]]+Tabla5[[#This Row],[TRIMESTRE IV]]</f>
        <v>986</v>
      </c>
      <c r="O819" s="39"/>
      <c r="P819" s="39"/>
      <c r="Q819" s="59"/>
    </row>
    <row r="820" spans="2:17" ht="22.5" x14ac:dyDescent="0.2">
      <c r="B820" s="46">
        <v>511073</v>
      </c>
      <c r="C820" s="47" t="s">
        <v>523</v>
      </c>
      <c r="D820" s="48">
        <v>530</v>
      </c>
      <c r="E820" s="43" t="str">
        <f>IF(D820&lt;=0,"",VLOOKUP(D820,[1]FF!A:D,2,0))</f>
        <v>PARTICIPACIONES Ramo 28</v>
      </c>
      <c r="F820" s="37" t="s">
        <v>549</v>
      </c>
      <c r="G820" s="37" t="s">
        <v>458</v>
      </c>
      <c r="H820" s="49">
        <v>311001</v>
      </c>
      <c r="I820" s="44" t="str">
        <f>IF(H820&lt;=0,"",VLOOKUP(H820,[1]COG!A:H,2,0))</f>
        <v>Servicio de energía eléctrica</v>
      </c>
      <c r="J820" s="39">
        <v>15528</v>
      </c>
      <c r="K820" s="39">
        <v>5176</v>
      </c>
      <c r="L820" s="50"/>
      <c r="M820" s="50"/>
      <c r="N820" s="1">
        <f>Tabla5[[#This Row],[TRIMESTRE  I]]+Tabla5[[#This Row],[TRIMESTRE II]]+Tabla5[[#This Row],[TRIMESTRE III]]+Tabla5[[#This Row],[TRIMESTRE IV]]</f>
        <v>20704</v>
      </c>
      <c r="O820" s="39"/>
      <c r="P820" s="39"/>
      <c r="Q820" s="59"/>
    </row>
    <row r="821" spans="2:17" ht="22.5" x14ac:dyDescent="0.2">
      <c r="B821" s="46">
        <v>511073</v>
      </c>
      <c r="C821" s="47" t="s">
        <v>523</v>
      </c>
      <c r="D821" s="48">
        <v>530</v>
      </c>
      <c r="E821" s="43" t="str">
        <f>IF(D821&lt;=0,"",VLOOKUP(D821,[1]FF!A:D,2,0))</f>
        <v>PARTICIPACIONES Ramo 28</v>
      </c>
      <c r="F821" s="37" t="s">
        <v>549</v>
      </c>
      <c r="G821" s="37" t="s">
        <v>458</v>
      </c>
      <c r="H821" s="49">
        <v>313001</v>
      </c>
      <c r="I821" s="44" t="str">
        <f>IF(H821&lt;=0,"",VLOOKUP(H821,[1]COG!A:H,2,0))</f>
        <v>Servicio de agua potable</v>
      </c>
      <c r="J821" s="39">
        <v>3093</v>
      </c>
      <c r="K821" s="39">
        <v>3091</v>
      </c>
      <c r="L821" s="50"/>
      <c r="M821" s="50"/>
      <c r="N821" s="1">
        <f>Tabla5[[#This Row],[TRIMESTRE  I]]+Tabla5[[#This Row],[TRIMESTRE II]]+Tabla5[[#This Row],[TRIMESTRE III]]+Tabla5[[#This Row],[TRIMESTRE IV]]</f>
        <v>6184</v>
      </c>
      <c r="O821" s="39"/>
      <c r="P821" s="39"/>
      <c r="Q821" s="59"/>
    </row>
    <row r="822" spans="2:17" ht="22.5" x14ac:dyDescent="0.2">
      <c r="B822" s="46">
        <v>511073</v>
      </c>
      <c r="C822" s="47" t="s">
        <v>523</v>
      </c>
      <c r="D822" s="48">
        <v>530</v>
      </c>
      <c r="E822" s="43" t="str">
        <f>IF(D822&lt;=0,"",VLOOKUP(D822,[1]FF!A:D,2,0))</f>
        <v>PARTICIPACIONES Ramo 28</v>
      </c>
      <c r="F822" s="37" t="s">
        <v>549</v>
      </c>
      <c r="G822" s="37" t="s">
        <v>458</v>
      </c>
      <c r="H822" s="49">
        <v>314001</v>
      </c>
      <c r="I822" s="44" t="str">
        <f>IF(H822&lt;=0,"",VLOOKUP(H822,[1]COG!A:H,2,0))</f>
        <v>Servicio telefónico</v>
      </c>
      <c r="J822" s="39">
        <v>29547</v>
      </c>
      <c r="K822" s="39">
        <v>9849</v>
      </c>
      <c r="L822" s="50"/>
      <c r="M822" s="50"/>
      <c r="N822" s="1">
        <f>Tabla5[[#This Row],[TRIMESTRE  I]]+Tabla5[[#This Row],[TRIMESTRE II]]+Tabla5[[#This Row],[TRIMESTRE III]]+Tabla5[[#This Row],[TRIMESTRE IV]]</f>
        <v>39396</v>
      </c>
      <c r="O822" s="39"/>
      <c r="P822" s="39"/>
      <c r="Q822" s="59"/>
    </row>
    <row r="823" spans="2:17" ht="22.5" x14ac:dyDescent="0.2">
      <c r="B823" s="46">
        <v>511073</v>
      </c>
      <c r="C823" s="47" t="s">
        <v>523</v>
      </c>
      <c r="D823" s="48">
        <v>530</v>
      </c>
      <c r="E823" s="43" t="str">
        <f>IF(D823&lt;=0,"",VLOOKUP(D823,[1]FF!A:D,2,0))</f>
        <v>PARTICIPACIONES Ramo 28</v>
      </c>
      <c r="F823" s="37" t="s">
        <v>549</v>
      </c>
      <c r="G823" s="37" t="s">
        <v>458</v>
      </c>
      <c r="H823" s="49">
        <v>318001</v>
      </c>
      <c r="I823" s="44" t="str">
        <f>IF(H823&lt;=0,"",VLOOKUP(H823,[1]COG!A:H,2,0))</f>
        <v>Servicio postal y telegráfico</v>
      </c>
      <c r="J823" s="39">
        <v>324</v>
      </c>
      <c r="K823" s="39">
        <v>211</v>
      </c>
      <c r="L823" s="50"/>
      <c r="M823" s="50"/>
      <c r="N823" s="1">
        <f>Tabla5[[#This Row],[TRIMESTRE  I]]+Tabla5[[#This Row],[TRIMESTRE II]]+Tabla5[[#This Row],[TRIMESTRE III]]+Tabla5[[#This Row],[TRIMESTRE IV]]</f>
        <v>535</v>
      </c>
      <c r="O823" s="39"/>
      <c r="P823" s="39"/>
      <c r="Q823" s="59"/>
    </row>
    <row r="824" spans="2:17" ht="22.5" x14ac:dyDescent="0.2">
      <c r="B824" s="46">
        <v>511073</v>
      </c>
      <c r="C824" s="47" t="s">
        <v>523</v>
      </c>
      <c r="D824" s="48">
        <v>530</v>
      </c>
      <c r="E824" s="43" t="str">
        <f>IF(D824&lt;=0,"",VLOOKUP(D824,[1]FF!A:D,2,0))</f>
        <v>PARTICIPACIONES Ramo 28</v>
      </c>
      <c r="F824" s="37" t="s">
        <v>549</v>
      </c>
      <c r="G824" s="37" t="s">
        <v>458</v>
      </c>
      <c r="H824" s="49">
        <v>322001</v>
      </c>
      <c r="I824" s="44" t="str">
        <f>IF(H824&lt;=0,"",VLOOKUP(H824,[1]COG!A:H,2,0))</f>
        <v>Arrendamiento de edificios</v>
      </c>
      <c r="J824" s="39">
        <v>204798</v>
      </c>
      <c r="K824" s="39">
        <v>204798</v>
      </c>
      <c r="L824" s="50"/>
      <c r="M824" s="50"/>
      <c r="N824" s="1">
        <f>Tabla5[[#This Row],[TRIMESTRE  I]]+Tabla5[[#This Row],[TRIMESTRE II]]+Tabla5[[#This Row],[TRIMESTRE III]]+Tabla5[[#This Row],[TRIMESTRE IV]]</f>
        <v>409596</v>
      </c>
      <c r="O824" s="39"/>
      <c r="P824" s="39"/>
      <c r="Q824" s="59"/>
    </row>
    <row r="825" spans="2:17" ht="22.5" x14ac:dyDescent="0.2">
      <c r="B825" s="46">
        <v>511073</v>
      </c>
      <c r="C825" s="47" t="s">
        <v>523</v>
      </c>
      <c r="D825" s="48">
        <v>530</v>
      </c>
      <c r="E825" s="43" t="str">
        <f>IF(D825&lt;=0,"",VLOOKUP(D825,[1]FF!A:D,2,0))</f>
        <v>PARTICIPACIONES Ramo 28</v>
      </c>
      <c r="F825" s="37" t="s">
        <v>549</v>
      </c>
      <c r="G825" s="37" t="s">
        <v>458</v>
      </c>
      <c r="H825" s="49">
        <v>323001</v>
      </c>
      <c r="I825" s="44" t="str">
        <f>IF(H825&lt;=0,"",VLOOKUP(H825,[1]COG!A:H,2,0))</f>
        <v>Arrendamiento de maquinaria y equipo</v>
      </c>
      <c r="J825" s="39">
        <v>6177</v>
      </c>
      <c r="K825" s="39">
        <v>6177</v>
      </c>
      <c r="L825" s="50"/>
      <c r="M825" s="50"/>
      <c r="N825" s="1">
        <f>Tabla5[[#This Row],[TRIMESTRE  I]]+Tabla5[[#This Row],[TRIMESTRE II]]+Tabla5[[#This Row],[TRIMESTRE III]]+Tabla5[[#This Row],[TRIMESTRE IV]]</f>
        <v>12354</v>
      </c>
      <c r="O825" s="39"/>
      <c r="P825" s="39"/>
      <c r="Q825" s="59"/>
    </row>
    <row r="826" spans="2:17" ht="22.5" x14ac:dyDescent="0.2">
      <c r="B826" s="46">
        <v>511073</v>
      </c>
      <c r="C826" s="47" t="s">
        <v>523</v>
      </c>
      <c r="D826" s="48">
        <v>530</v>
      </c>
      <c r="E826" s="43" t="str">
        <f>IF(D826&lt;=0,"",VLOOKUP(D826,[1]FF!A:D,2,0))</f>
        <v>PARTICIPACIONES Ramo 28</v>
      </c>
      <c r="F826" s="37" t="s">
        <v>549</v>
      </c>
      <c r="G826" s="37" t="s">
        <v>458</v>
      </c>
      <c r="H826" s="49">
        <v>325001</v>
      </c>
      <c r="I826" s="44" t="str">
        <f>IF(H826&lt;=0,"",VLOOKUP(H826,[1]COG!A:H,2,0))</f>
        <v>Arrendamiento de equipo de transporte</v>
      </c>
      <c r="J826" s="39">
        <v>3164</v>
      </c>
      <c r="K826" s="39">
        <v>2818</v>
      </c>
      <c r="L826" s="50"/>
      <c r="M826" s="50"/>
      <c r="N826" s="1">
        <f>Tabla5[[#This Row],[TRIMESTRE  I]]+Tabla5[[#This Row],[TRIMESTRE II]]+Tabla5[[#This Row],[TRIMESTRE III]]+Tabla5[[#This Row],[TRIMESTRE IV]]</f>
        <v>5982</v>
      </c>
      <c r="O826" s="39"/>
      <c r="P826" s="39"/>
      <c r="Q826" s="59"/>
    </row>
    <row r="827" spans="2:17" ht="22.5" x14ac:dyDescent="0.2">
      <c r="B827" s="46">
        <v>511073</v>
      </c>
      <c r="C827" s="47" t="s">
        <v>523</v>
      </c>
      <c r="D827" s="48">
        <v>530</v>
      </c>
      <c r="E827" s="43" t="str">
        <f>IF(D827&lt;=0,"",VLOOKUP(D827,[1]FF!A:D,2,0))</f>
        <v>PARTICIPACIONES Ramo 28</v>
      </c>
      <c r="F827" s="37" t="s">
        <v>549</v>
      </c>
      <c r="G827" s="37" t="s">
        <v>458</v>
      </c>
      <c r="H827" s="49">
        <v>331001</v>
      </c>
      <c r="I827" s="44" t="str">
        <f>IF(H827&lt;=0,"",VLOOKUP(H827,[1]COG!A:H,2,0))</f>
        <v>Asesorías</v>
      </c>
      <c r="J827" s="39">
        <v>118086</v>
      </c>
      <c r="K827" s="39">
        <v>118086</v>
      </c>
      <c r="L827" s="50"/>
      <c r="M827" s="50"/>
      <c r="N827" s="1">
        <f>Tabla5[[#This Row],[TRIMESTRE  I]]+Tabla5[[#This Row],[TRIMESTRE II]]+Tabla5[[#This Row],[TRIMESTRE III]]+Tabla5[[#This Row],[TRIMESTRE IV]]</f>
        <v>236172</v>
      </c>
      <c r="O827" s="39"/>
      <c r="P827" s="39"/>
      <c r="Q827" s="59"/>
    </row>
    <row r="828" spans="2:17" ht="22.5" x14ac:dyDescent="0.2">
      <c r="B828" s="46">
        <v>511073</v>
      </c>
      <c r="C828" s="47" t="s">
        <v>523</v>
      </c>
      <c r="D828" s="48">
        <v>530</v>
      </c>
      <c r="E828" s="43" t="str">
        <f>IF(D828&lt;=0,"",VLOOKUP(D828,[1]FF!A:D,2,0))</f>
        <v>PARTICIPACIONES Ramo 28</v>
      </c>
      <c r="F828" s="37" t="s">
        <v>549</v>
      </c>
      <c r="G828" s="37" t="s">
        <v>458</v>
      </c>
      <c r="H828" s="49">
        <v>333001</v>
      </c>
      <c r="I828" s="44" t="str">
        <f>IF(H828&lt;=0,"",VLOOKUP(H828,[1]COG!A:H,2,0))</f>
        <v>Estudios e investigaciones</v>
      </c>
      <c r="J828" s="39">
        <v>1633</v>
      </c>
      <c r="K828" s="39">
        <v>1454</v>
      </c>
      <c r="L828" s="50"/>
      <c r="M828" s="50"/>
      <c r="N828" s="1">
        <f>Tabla5[[#This Row],[TRIMESTRE  I]]+Tabla5[[#This Row],[TRIMESTRE II]]+Tabla5[[#This Row],[TRIMESTRE III]]+Tabla5[[#This Row],[TRIMESTRE IV]]</f>
        <v>3087</v>
      </c>
      <c r="O828" s="39"/>
      <c r="P828" s="39"/>
      <c r="Q828" s="59"/>
    </row>
    <row r="829" spans="2:17" ht="22.5" x14ac:dyDescent="0.2">
      <c r="B829" s="46">
        <v>511073</v>
      </c>
      <c r="C829" s="47" t="s">
        <v>523</v>
      </c>
      <c r="D829" s="48">
        <v>530</v>
      </c>
      <c r="E829" s="43" t="str">
        <f>IF(D829&lt;=0,"",VLOOKUP(D829,[1]FF!A:D,2,0))</f>
        <v>PARTICIPACIONES Ramo 28</v>
      </c>
      <c r="F829" s="37" t="s">
        <v>549</v>
      </c>
      <c r="G829" s="37" t="s">
        <v>458</v>
      </c>
      <c r="H829" s="49">
        <v>334001</v>
      </c>
      <c r="I829" s="44" t="str">
        <f>IF(H829&lt;=0,"",VLOOKUP(H829,[1]COG!A:H,2,0))</f>
        <v>Cuotas e inscripciones</v>
      </c>
      <c r="J829" s="39">
        <v>5498</v>
      </c>
      <c r="K829" s="39">
        <v>4896</v>
      </c>
      <c r="L829" s="50"/>
      <c r="M829" s="50"/>
      <c r="N829" s="1">
        <f>Tabla5[[#This Row],[TRIMESTRE  I]]+Tabla5[[#This Row],[TRIMESTRE II]]+Tabla5[[#This Row],[TRIMESTRE III]]+Tabla5[[#This Row],[TRIMESTRE IV]]</f>
        <v>10394</v>
      </c>
      <c r="O829" s="39"/>
      <c r="P829" s="39"/>
      <c r="Q829" s="59"/>
    </row>
    <row r="830" spans="2:17" ht="22.5" x14ac:dyDescent="0.2">
      <c r="B830" s="46">
        <v>511073</v>
      </c>
      <c r="C830" s="47" t="s">
        <v>523</v>
      </c>
      <c r="D830" s="48">
        <v>530</v>
      </c>
      <c r="E830" s="43" t="str">
        <f>IF(D830&lt;=0,"",VLOOKUP(D830,[1]FF!A:D,2,0))</f>
        <v>PARTICIPACIONES Ramo 28</v>
      </c>
      <c r="F830" s="37" t="s">
        <v>549</v>
      </c>
      <c r="G830" s="37" t="s">
        <v>458</v>
      </c>
      <c r="H830" s="49">
        <v>345001</v>
      </c>
      <c r="I830" s="44" t="str">
        <f>IF(H830&lt;=0,"",VLOOKUP(H830,[1]COG!A:H,2,0))</f>
        <v>Seguros</v>
      </c>
      <c r="J830" s="39">
        <v>1528</v>
      </c>
      <c r="K830" s="39">
        <v>1361</v>
      </c>
      <c r="L830" s="50"/>
      <c r="M830" s="50"/>
      <c r="N830" s="1">
        <f>Tabla5[[#This Row],[TRIMESTRE  I]]+Tabla5[[#This Row],[TRIMESTRE II]]+Tabla5[[#This Row],[TRIMESTRE III]]+Tabla5[[#This Row],[TRIMESTRE IV]]</f>
        <v>2889</v>
      </c>
      <c r="O830" s="39"/>
      <c r="P830" s="39"/>
      <c r="Q830" s="59"/>
    </row>
    <row r="831" spans="2:17" ht="22.5" x14ac:dyDescent="0.2">
      <c r="B831" s="46">
        <v>511073</v>
      </c>
      <c r="C831" s="47" t="s">
        <v>523</v>
      </c>
      <c r="D831" s="48">
        <v>530</v>
      </c>
      <c r="E831" s="43" t="str">
        <f>IF(D831&lt;=0,"",VLOOKUP(D831,[1]FF!A:D,2,0))</f>
        <v>PARTICIPACIONES Ramo 28</v>
      </c>
      <c r="F831" s="37" t="s">
        <v>549</v>
      </c>
      <c r="G831" s="37" t="s">
        <v>458</v>
      </c>
      <c r="H831" s="49">
        <v>347001</v>
      </c>
      <c r="I831" s="44" t="str">
        <f>IF(H831&lt;=0,"",VLOOKUP(H831,[1]COG!A:H,2,0))</f>
        <v>Fletes, maniobras y almacenaje</v>
      </c>
      <c r="J831" s="39">
        <v>917</v>
      </c>
      <c r="K831" s="39">
        <v>817</v>
      </c>
      <c r="L831" s="50"/>
      <c r="M831" s="50"/>
      <c r="N831" s="1">
        <f>Tabla5[[#This Row],[TRIMESTRE  I]]+Tabla5[[#This Row],[TRIMESTRE II]]+Tabla5[[#This Row],[TRIMESTRE III]]+Tabla5[[#This Row],[TRIMESTRE IV]]</f>
        <v>1734</v>
      </c>
      <c r="O831" s="39"/>
      <c r="P831" s="39"/>
      <c r="Q831" s="59"/>
    </row>
    <row r="832" spans="2:17" ht="22.5" x14ac:dyDescent="0.2">
      <c r="B832" s="46">
        <v>511073</v>
      </c>
      <c r="C832" s="47" t="s">
        <v>523</v>
      </c>
      <c r="D832" s="48">
        <v>530</v>
      </c>
      <c r="E832" s="43" t="str">
        <f>IF(D832&lt;=0,"",VLOOKUP(D832,[1]FF!A:D,2,0))</f>
        <v>PARTICIPACIONES Ramo 28</v>
      </c>
      <c r="F832" s="37" t="s">
        <v>549</v>
      </c>
      <c r="G832" s="37" t="s">
        <v>458</v>
      </c>
      <c r="H832" s="49">
        <v>351001</v>
      </c>
      <c r="I832" s="44" t="str">
        <f>IF(H832&lt;=0,"",VLOOKUP(H832,[1]COG!A:H,2,0))</f>
        <v>Mantenimiento de inmuebles</v>
      </c>
      <c r="J832" s="39">
        <v>11915</v>
      </c>
      <c r="K832" s="39">
        <v>10609</v>
      </c>
      <c r="L832" s="50"/>
      <c r="M832" s="50"/>
      <c r="N832" s="1">
        <f>Tabla5[[#This Row],[TRIMESTRE  I]]+Tabla5[[#This Row],[TRIMESTRE II]]+Tabla5[[#This Row],[TRIMESTRE III]]+Tabla5[[#This Row],[TRIMESTRE IV]]</f>
        <v>22524</v>
      </c>
      <c r="O832" s="39"/>
      <c r="P832" s="39"/>
      <c r="Q832" s="59"/>
    </row>
    <row r="833" spans="2:17" ht="22.5" x14ac:dyDescent="0.2">
      <c r="B833" s="46">
        <v>511073</v>
      </c>
      <c r="C833" s="47" t="s">
        <v>523</v>
      </c>
      <c r="D833" s="48">
        <v>530</v>
      </c>
      <c r="E833" s="43" t="str">
        <f>IF(D833&lt;=0,"",VLOOKUP(D833,[1]FF!A:D,2,0))</f>
        <v>PARTICIPACIONES Ramo 28</v>
      </c>
      <c r="F833" s="37" t="s">
        <v>549</v>
      </c>
      <c r="G833" s="37" t="s">
        <v>458</v>
      </c>
      <c r="H833" s="49">
        <v>352001</v>
      </c>
      <c r="I833" s="44" t="str">
        <f>IF(H833&lt;=0,"",VLOOKUP(H833,[1]COG!A:H,2,0))</f>
        <v>Mantenimiento de mobiliario y equipo</v>
      </c>
      <c r="J833" s="39">
        <v>48649</v>
      </c>
      <c r="K833" s="39">
        <v>48347</v>
      </c>
      <c r="L833" s="50"/>
      <c r="M833" s="50"/>
      <c r="N833" s="1">
        <f>Tabla5[[#This Row],[TRIMESTRE  I]]+Tabla5[[#This Row],[TRIMESTRE II]]+Tabla5[[#This Row],[TRIMESTRE III]]+Tabla5[[#This Row],[TRIMESTRE IV]]</f>
        <v>96996</v>
      </c>
      <c r="O833" s="39"/>
      <c r="P833" s="39"/>
      <c r="Q833" s="59"/>
    </row>
    <row r="834" spans="2:17" ht="22.5" x14ac:dyDescent="0.2">
      <c r="B834" s="46">
        <v>511073</v>
      </c>
      <c r="C834" s="47" t="s">
        <v>523</v>
      </c>
      <c r="D834" s="48">
        <v>530</v>
      </c>
      <c r="E834" s="43" t="str">
        <f>IF(D834&lt;=0,"",VLOOKUP(D834,[1]FF!A:D,2,0))</f>
        <v>PARTICIPACIONES Ramo 28</v>
      </c>
      <c r="F834" s="37" t="s">
        <v>549</v>
      </c>
      <c r="G834" s="37" t="s">
        <v>458</v>
      </c>
      <c r="H834" s="49">
        <v>352002</v>
      </c>
      <c r="I834" s="44" t="str">
        <f>IF(H834&lt;=0,"",VLOOKUP(H834,[1]COG!A:H,2,0))</f>
        <v>Gastos de instalación</v>
      </c>
      <c r="J834" s="39">
        <v>2689</v>
      </c>
      <c r="K834" s="39">
        <v>2395</v>
      </c>
      <c r="L834" s="50"/>
      <c r="M834" s="50"/>
      <c r="N834" s="1">
        <f>Tabla5[[#This Row],[TRIMESTRE  I]]+Tabla5[[#This Row],[TRIMESTRE II]]+Tabla5[[#This Row],[TRIMESTRE III]]+Tabla5[[#This Row],[TRIMESTRE IV]]</f>
        <v>5084</v>
      </c>
      <c r="O834" s="39"/>
      <c r="P834" s="39"/>
      <c r="Q834" s="59"/>
    </row>
    <row r="835" spans="2:17" ht="27" x14ac:dyDescent="0.2">
      <c r="B835" s="46">
        <v>511073</v>
      </c>
      <c r="C835" s="47" t="s">
        <v>523</v>
      </c>
      <c r="D835" s="48">
        <v>530</v>
      </c>
      <c r="E835" s="43" t="str">
        <f>IF(D835&lt;=0,"",VLOOKUP(D835,[1]FF!A:D,2,0))</f>
        <v>PARTICIPACIONES Ramo 28</v>
      </c>
      <c r="F835" s="37" t="s">
        <v>549</v>
      </c>
      <c r="G835" s="37" t="s">
        <v>458</v>
      </c>
      <c r="H835" s="49">
        <v>355001</v>
      </c>
      <c r="I835" s="44" t="str">
        <f>IF(H835&lt;=0,"",VLOOKUP(H835,[1]COG!A:H,2,0))</f>
        <v>Mantto. y conservación de vehículos terrestres, aéreos, marítimos, lacustres y fluviales</v>
      </c>
      <c r="J835" s="39">
        <v>102330</v>
      </c>
      <c r="K835" s="39">
        <v>102330</v>
      </c>
      <c r="L835" s="50"/>
      <c r="M835" s="50"/>
      <c r="N835" s="1">
        <f>Tabla5[[#This Row],[TRIMESTRE  I]]+Tabla5[[#This Row],[TRIMESTRE II]]+Tabla5[[#This Row],[TRIMESTRE III]]+Tabla5[[#This Row],[TRIMESTRE IV]]</f>
        <v>204660</v>
      </c>
      <c r="O835" s="39"/>
      <c r="P835" s="39"/>
      <c r="Q835" s="59"/>
    </row>
    <row r="836" spans="2:17" ht="22.5" x14ac:dyDescent="0.2">
      <c r="B836" s="46">
        <v>511073</v>
      </c>
      <c r="C836" s="47" t="s">
        <v>523</v>
      </c>
      <c r="D836" s="48">
        <v>530</v>
      </c>
      <c r="E836" s="43" t="str">
        <f>IF(D836&lt;=0,"",VLOOKUP(D836,[1]FF!A:D,2,0))</f>
        <v>PARTICIPACIONES Ramo 28</v>
      </c>
      <c r="F836" s="37" t="s">
        <v>549</v>
      </c>
      <c r="G836" s="37" t="s">
        <v>458</v>
      </c>
      <c r="H836" s="49">
        <v>358001</v>
      </c>
      <c r="I836" s="44" t="str">
        <f>IF(H836&lt;=0,"",VLOOKUP(H836,[1]COG!A:H,2,0))</f>
        <v>Servicios de higiene y limpieza</v>
      </c>
      <c r="J836" s="39">
        <v>4313</v>
      </c>
      <c r="K836" s="39">
        <v>3840</v>
      </c>
      <c r="L836" s="50"/>
      <c r="M836" s="50"/>
      <c r="N836" s="1">
        <f>Tabla5[[#This Row],[TRIMESTRE  I]]+Tabla5[[#This Row],[TRIMESTRE II]]+Tabla5[[#This Row],[TRIMESTRE III]]+Tabla5[[#This Row],[TRIMESTRE IV]]</f>
        <v>8153</v>
      </c>
      <c r="O836" s="39"/>
      <c r="P836" s="39"/>
      <c r="Q836" s="59"/>
    </row>
    <row r="837" spans="2:17" ht="22.5" x14ac:dyDescent="0.2">
      <c r="B837" s="46">
        <v>511073</v>
      </c>
      <c r="C837" s="47" t="s">
        <v>523</v>
      </c>
      <c r="D837" s="48">
        <v>530</v>
      </c>
      <c r="E837" s="43" t="str">
        <f>IF(D837&lt;=0,"",VLOOKUP(D837,[1]FF!A:D,2,0))</f>
        <v>PARTICIPACIONES Ramo 28</v>
      </c>
      <c r="F837" s="37" t="s">
        <v>549</v>
      </c>
      <c r="G837" s="37" t="s">
        <v>458</v>
      </c>
      <c r="H837" s="49">
        <v>361002</v>
      </c>
      <c r="I837" s="44" t="str">
        <f>IF(H837&lt;=0,"",VLOOKUP(H837,[1]COG!A:H,2,0))</f>
        <v>Impresiones y publicaciones oficiales</v>
      </c>
      <c r="J837" s="39">
        <v>550</v>
      </c>
      <c r="K837" s="39">
        <v>489</v>
      </c>
      <c r="L837" s="50"/>
      <c r="M837" s="50"/>
      <c r="N837" s="1">
        <f>Tabla5[[#This Row],[TRIMESTRE  I]]+Tabla5[[#This Row],[TRIMESTRE II]]+Tabla5[[#This Row],[TRIMESTRE III]]+Tabla5[[#This Row],[TRIMESTRE IV]]</f>
        <v>1039</v>
      </c>
      <c r="O837" s="39"/>
      <c r="P837" s="39"/>
      <c r="Q837" s="59"/>
    </row>
    <row r="838" spans="2:17" ht="22.5" x14ac:dyDescent="0.2">
      <c r="B838" s="46">
        <v>511073</v>
      </c>
      <c r="C838" s="47" t="s">
        <v>523</v>
      </c>
      <c r="D838" s="48">
        <v>530</v>
      </c>
      <c r="E838" s="43" t="str">
        <f>IF(D838&lt;=0,"",VLOOKUP(D838,[1]FF!A:D,2,0))</f>
        <v>PARTICIPACIONES Ramo 28</v>
      </c>
      <c r="F838" s="37" t="s">
        <v>549</v>
      </c>
      <c r="G838" s="37" t="s">
        <v>458</v>
      </c>
      <c r="H838" s="49">
        <v>371001</v>
      </c>
      <c r="I838" s="44" t="str">
        <f>IF(H838&lt;=0,"",VLOOKUP(H838,[1]COG!A:H,2,0))</f>
        <v>Pasajes aéreos</v>
      </c>
      <c r="J838" s="39">
        <v>5867</v>
      </c>
      <c r="K838" s="39">
        <v>5224</v>
      </c>
      <c r="L838" s="50"/>
      <c r="M838" s="50"/>
      <c r="N838" s="1">
        <f>Tabla5[[#This Row],[TRIMESTRE  I]]+Tabla5[[#This Row],[TRIMESTRE II]]+Tabla5[[#This Row],[TRIMESTRE III]]+Tabla5[[#This Row],[TRIMESTRE IV]]</f>
        <v>11091</v>
      </c>
      <c r="O838" s="39"/>
      <c r="P838" s="39"/>
      <c r="Q838" s="59"/>
    </row>
    <row r="839" spans="2:17" ht="22.5" x14ac:dyDescent="0.2">
      <c r="B839" s="46">
        <v>511073</v>
      </c>
      <c r="C839" s="47" t="s">
        <v>523</v>
      </c>
      <c r="D839" s="48">
        <v>530</v>
      </c>
      <c r="E839" s="43" t="str">
        <f>IF(D839&lt;=0,"",VLOOKUP(D839,[1]FF!A:D,2,0))</f>
        <v>PARTICIPACIONES Ramo 28</v>
      </c>
      <c r="F839" s="37" t="s">
        <v>549</v>
      </c>
      <c r="G839" s="37" t="s">
        <v>458</v>
      </c>
      <c r="H839" s="49">
        <v>375001</v>
      </c>
      <c r="I839" s="44" t="str">
        <f>IF(H839&lt;=0,"",VLOOKUP(H839,[1]COG!A:H,2,0))</f>
        <v>Viáticos</v>
      </c>
      <c r="J839" s="39">
        <v>125147.56</v>
      </c>
      <c r="K839" s="39">
        <v>56967</v>
      </c>
      <c r="L839" s="50"/>
      <c r="M839" s="50"/>
      <c r="N839" s="1">
        <f>Tabla5[[#This Row],[TRIMESTRE  I]]+Tabla5[[#This Row],[TRIMESTRE II]]+Tabla5[[#This Row],[TRIMESTRE III]]+Tabla5[[#This Row],[TRIMESTRE IV]]</f>
        <v>182114.56</v>
      </c>
      <c r="O839" s="39"/>
      <c r="P839" s="39"/>
      <c r="Q839" s="59"/>
    </row>
    <row r="840" spans="2:17" ht="22.5" x14ac:dyDescent="0.2">
      <c r="B840" s="46">
        <v>511073</v>
      </c>
      <c r="C840" s="47" t="s">
        <v>523</v>
      </c>
      <c r="D840" s="48">
        <v>530</v>
      </c>
      <c r="E840" s="43" t="str">
        <f>IF(D840&lt;=0,"",VLOOKUP(D840,[1]FF!A:D,2,0))</f>
        <v>PARTICIPACIONES Ramo 28</v>
      </c>
      <c r="F840" s="37" t="s">
        <v>549</v>
      </c>
      <c r="G840" s="37" t="s">
        <v>458</v>
      </c>
      <c r="H840" s="49">
        <v>379001</v>
      </c>
      <c r="I840" s="44" t="str">
        <f>IF(H840&lt;=0,"",VLOOKUP(H840,[1]COG!A:H,2,0))</f>
        <v>Traslado de vehículos</v>
      </c>
      <c r="J840" s="39">
        <v>3483</v>
      </c>
      <c r="K840" s="39">
        <v>3103</v>
      </c>
      <c r="L840" s="50"/>
      <c r="M840" s="50"/>
      <c r="N840" s="1">
        <f>Tabla5[[#This Row],[TRIMESTRE  I]]+Tabla5[[#This Row],[TRIMESTRE II]]+Tabla5[[#This Row],[TRIMESTRE III]]+Tabla5[[#This Row],[TRIMESTRE IV]]</f>
        <v>6586</v>
      </c>
      <c r="O840" s="39"/>
      <c r="P840" s="39"/>
      <c r="Q840" s="59"/>
    </row>
    <row r="841" spans="2:17" ht="22.5" x14ac:dyDescent="0.2">
      <c r="B841" s="46">
        <v>511073</v>
      </c>
      <c r="C841" s="47" t="s">
        <v>523</v>
      </c>
      <c r="D841" s="48">
        <v>530</v>
      </c>
      <c r="E841" s="43" t="str">
        <f>IF(D841&lt;=0,"",VLOOKUP(D841,[1]FF!A:D,2,0))</f>
        <v>PARTICIPACIONES Ramo 28</v>
      </c>
      <c r="F841" s="37" t="s">
        <v>549</v>
      </c>
      <c r="G841" s="37" t="s">
        <v>458</v>
      </c>
      <c r="H841" s="49">
        <v>382002</v>
      </c>
      <c r="I841" s="44" t="str">
        <f>IF(H841&lt;=0,"",VLOOKUP(H841,[1]COG!A:H,2,0))</f>
        <v>Gastos de recepción, conmemorativos y de orden social</v>
      </c>
      <c r="J841" s="39">
        <v>1293</v>
      </c>
      <c r="K841" s="39">
        <v>1152</v>
      </c>
      <c r="L841" s="50"/>
      <c r="M841" s="50"/>
      <c r="N841" s="1">
        <f>Tabla5[[#This Row],[TRIMESTRE  I]]+Tabla5[[#This Row],[TRIMESTRE II]]+Tabla5[[#This Row],[TRIMESTRE III]]+Tabla5[[#This Row],[TRIMESTRE IV]]</f>
        <v>2445</v>
      </c>
      <c r="O841" s="39"/>
      <c r="P841" s="39"/>
      <c r="Q841" s="59"/>
    </row>
    <row r="842" spans="2:17" ht="22.5" x14ac:dyDescent="0.2">
      <c r="B842" s="46">
        <v>511073</v>
      </c>
      <c r="C842" s="47" t="s">
        <v>523</v>
      </c>
      <c r="D842" s="48">
        <v>530</v>
      </c>
      <c r="E842" s="43" t="str">
        <f>IF(D842&lt;=0,"",VLOOKUP(D842,[1]FF!A:D,2,0))</f>
        <v>PARTICIPACIONES Ramo 28</v>
      </c>
      <c r="F842" s="37" t="s">
        <v>549</v>
      </c>
      <c r="G842" s="37" t="s">
        <v>458</v>
      </c>
      <c r="H842" s="49">
        <v>399001</v>
      </c>
      <c r="I842" s="44" t="str">
        <f>IF(H842&lt;=0,"",VLOOKUP(H842,[1]COG!A:H,2,0))</f>
        <v>Gastos menores</v>
      </c>
      <c r="J842" s="39">
        <v>6599</v>
      </c>
      <c r="K842" s="39">
        <v>5877</v>
      </c>
      <c r="L842" s="50"/>
      <c r="M842" s="50"/>
      <c r="N842" s="1">
        <f>Tabla5[[#This Row],[TRIMESTRE  I]]+Tabla5[[#This Row],[TRIMESTRE II]]+Tabla5[[#This Row],[TRIMESTRE III]]+Tabla5[[#This Row],[TRIMESTRE IV]]</f>
        <v>12476</v>
      </c>
      <c r="O842" s="39"/>
      <c r="P842" s="39"/>
      <c r="Q842" s="59"/>
    </row>
    <row r="843" spans="2:17" ht="56.25" x14ac:dyDescent="0.2">
      <c r="B843" s="46">
        <v>511074</v>
      </c>
      <c r="C843" s="47" t="s">
        <v>523</v>
      </c>
      <c r="D843" s="48">
        <v>530</v>
      </c>
      <c r="E843" s="43" t="str">
        <f>IF(D843&lt;=0,"",VLOOKUP(D843,[1]FF!A:D,2,0))</f>
        <v>PARTICIPACIONES Ramo 28</v>
      </c>
      <c r="F843" s="37" t="s">
        <v>573</v>
      </c>
      <c r="G843" s="37" t="s">
        <v>458</v>
      </c>
      <c r="H843" s="49">
        <v>311001</v>
      </c>
      <c r="I843" s="44" t="str">
        <f>IF(H843&lt;=0,"",VLOOKUP(H843,[1]COG!A:H,2,0))</f>
        <v>Servicio de energía eléctrica</v>
      </c>
      <c r="J843" s="39">
        <v>0</v>
      </c>
      <c r="K843" s="39">
        <v>2831</v>
      </c>
      <c r="L843" s="50"/>
      <c r="M843" s="50"/>
      <c r="N843" s="1">
        <f>Tabla5[[#This Row],[TRIMESTRE  I]]+Tabla5[[#This Row],[TRIMESTRE II]]+Tabla5[[#This Row],[TRIMESTRE III]]+Tabla5[[#This Row],[TRIMESTRE IV]]</f>
        <v>2831</v>
      </c>
      <c r="O843" s="39"/>
      <c r="P843" s="39"/>
      <c r="Q843" s="59"/>
    </row>
    <row r="844" spans="2:17" ht="22.5" x14ac:dyDescent="0.2">
      <c r="B844" s="46">
        <v>513078</v>
      </c>
      <c r="C844" s="47" t="s">
        <v>523</v>
      </c>
      <c r="D844" s="48">
        <v>530</v>
      </c>
      <c r="E844" s="43" t="str">
        <f>IF(D844&lt;=0,"",VLOOKUP(D844,[1]FF!A:D,2,0))</f>
        <v>PARTICIPACIONES Ramo 28</v>
      </c>
      <c r="F844" s="37" t="s">
        <v>550</v>
      </c>
      <c r="G844" s="37" t="s">
        <v>458</v>
      </c>
      <c r="H844" s="49">
        <v>311001</v>
      </c>
      <c r="I844" s="44" t="str">
        <f>IF(H844&lt;=0,"",VLOOKUP(H844,[1]COG!A:H,2,0))</f>
        <v>Servicio de energía eléctrica</v>
      </c>
      <c r="J844" s="39">
        <v>13293</v>
      </c>
      <c r="K844" s="39">
        <v>14189</v>
      </c>
      <c r="L844" s="50"/>
      <c r="M844" s="50"/>
      <c r="N844" s="1">
        <f>Tabla5[[#This Row],[TRIMESTRE  I]]+Tabla5[[#This Row],[TRIMESTRE II]]+Tabla5[[#This Row],[TRIMESTRE III]]+Tabla5[[#This Row],[TRIMESTRE IV]]</f>
        <v>27482</v>
      </c>
      <c r="O844" s="39"/>
      <c r="P844" s="39"/>
      <c r="Q844" s="59"/>
    </row>
    <row r="845" spans="2:17" ht="22.5" x14ac:dyDescent="0.2">
      <c r="B845" s="46">
        <v>513078</v>
      </c>
      <c r="C845" s="47" t="s">
        <v>523</v>
      </c>
      <c r="D845" s="48">
        <v>530</v>
      </c>
      <c r="E845" s="43" t="str">
        <f>IF(D845&lt;=0,"",VLOOKUP(D845,[1]FF!A:D,2,0))</f>
        <v>PARTICIPACIONES Ramo 28</v>
      </c>
      <c r="F845" s="37" t="s">
        <v>550</v>
      </c>
      <c r="G845" s="37" t="s">
        <v>458</v>
      </c>
      <c r="H845" s="49">
        <v>313001</v>
      </c>
      <c r="I845" s="44" t="str">
        <f>IF(H845&lt;=0,"",VLOOKUP(H845,[1]COG!A:H,2,0))</f>
        <v>Servicio de agua potable</v>
      </c>
      <c r="J845" s="39">
        <v>28197</v>
      </c>
      <c r="K845" s="39">
        <v>28197</v>
      </c>
      <c r="L845" s="50"/>
      <c r="M845" s="50"/>
      <c r="N845" s="1">
        <f>Tabla5[[#This Row],[TRIMESTRE  I]]+Tabla5[[#This Row],[TRIMESTRE II]]+Tabla5[[#This Row],[TRIMESTRE III]]+Tabla5[[#This Row],[TRIMESTRE IV]]</f>
        <v>56394</v>
      </c>
      <c r="O845" s="39"/>
      <c r="P845" s="39"/>
      <c r="Q845" s="59"/>
    </row>
    <row r="846" spans="2:17" ht="22.5" x14ac:dyDescent="0.2">
      <c r="B846" s="46">
        <v>513078</v>
      </c>
      <c r="C846" s="47" t="s">
        <v>523</v>
      </c>
      <c r="D846" s="48">
        <v>530</v>
      </c>
      <c r="E846" s="43" t="str">
        <f>IF(D846&lt;=0,"",VLOOKUP(D846,[1]FF!A:D,2,0))</f>
        <v>PARTICIPACIONES Ramo 28</v>
      </c>
      <c r="F846" s="37" t="s">
        <v>550</v>
      </c>
      <c r="G846" s="37" t="s">
        <v>458</v>
      </c>
      <c r="H846" s="49">
        <v>314001</v>
      </c>
      <c r="I846" s="44" t="str">
        <f>IF(H846&lt;=0,"",VLOOKUP(H846,[1]COG!A:H,2,0))</f>
        <v>Servicio telefónico</v>
      </c>
      <c r="J846" s="39">
        <v>6780</v>
      </c>
      <c r="K846" s="39">
        <v>2260</v>
      </c>
      <c r="L846" s="50"/>
      <c r="M846" s="50"/>
      <c r="N846" s="1">
        <f>Tabla5[[#This Row],[TRIMESTRE  I]]+Tabla5[[#This Row],[TRIMESTRE II]]+Tabla5[[#This Row],[TRIMESTRE III]]+Tabla5[[#This Row],[TRIMESTRE IV]]</f>
        <v>9040</v>
      </c>
      <c r="O846" s="39"/>
      <c r="P846" s="39"/>
      <c r="Q846" s="59"/>
    </row>
    <row r="847" spans="2:17" ht="22.5" x14ac:dyDescent="0.2">
      <c r="B847" s="46">
        <v>513078</v>
      </c>
      <c r="C847" s="47" t="s">
        <v>523</v>
      </c>
      <c r="D847" s="48">
        <v>530</v>
      </c>
      <c r="E847" s="43" t="str">
        <f>IF(D847&lt;=0,"",VLOOKUP(D847,[1]FF!A:D,2,0))</f>
        <v>PARTICIPACIONES Ramo 28</v>
      </c>
      <c r="F847" s="37" t="s">
        <v>550</v>
      </c>
      <c r="G847" s="37" t="s">
        <v>458</v>
      </c>
      <c r="H847" s="49">
        <v>323001</v>
      </c>
      <c r="I847" s="44" t="str">
        <f>IF(H847&lt;=0,"",VLOOKUP(H847,[1]COG!A:H,2,0))</f>
        <v>Arrendamiento de maquinaria y equipo</v>
      </c>
      <c r="J847" s="39">
        <v>4647</v>
      </c>
      <c r="K847" s="39">
        <v>4647</v>
      </c>
      <c r="L847" s="50"/>
      <c r="M847" s="50"/>
      <c r="N847" s="1">
        <f>Tabla5[[#This Row],[TRIMESTRE  I]]+Tabla5[[#This Row],[TRIMESTRE II]]+Tabla5[[#This Row],[TRIMESTRE III]]+Tabla5[[#This Row],[TRIMESTRE IV]]</f>
        <v>9294</v>
      </c>
      <c r="O847" s="39"/>
      <c r="P847" s="39"/>
      <c r="Q847" s="59"/>
    </row>
    <row r="848" spans="2:17" ht="22.5" x14ac:dyDescent="0.2">
      <c r="B848" s="46">
        <v>513078</v>
      </c>
      <c r="C848" s="47" t="s">
        <v>523</v>
      </c>
      <c r="D848" s="48">
        <v>530</v>
      </c>
      <c r="E848" s="43" t="str">
        <f>IF(D848&lt;=0,"",VLOOKUP(D848,[1]FF!A:D,2,0))</f>
        <v>PARTICIPACIONES Ramo 28</v>
      </c>
      <c r="F848" s="37" t="s">
        <v>550</v>
      </c>
      <c r="G848" s="37" t="s">
        <v>458</v>
      </c>
      <c r="H848" s="49">
        <v>352001</v>
      </c>
      <c r="I848" s="44" t="str">
        <f>IF(H848&lt;=0,"",VLOOKUP(H848,[1]COG!A:H,2,0))</f>
        <v>Mantenimiento de mobiliario y equipo</v>
      </c>
      <c r="J848" s="39">
        <v>19910</v>
      </c>
      <c r="K848" s="39">
        <v>19852</v>
      </c>
      <c r="L848" s="50"/>
      <c r="M848" s="50"/>
      <c r="N848" s="1">
        <f>Tabla5[[#This Row],[TRIMESTRE  I]]+Tabla5[[#This Row],[TRIMESTRE II]]+Tabla5[[#This Row],[TRIMESTRE III]]+Tabla5[[#This Row],[TRIMESTRE IV]]</f>
        <v>39762</v>
      </c>
      <c r="O848" s="39"/>
      <c r="P848" s="39"/>
      <c r="Q848" s="59"/>
    </row>
    <row r="849" spans="2:17" ht="27" x14ac:dyDescent="0.2">
      <c r="B849" s="46">
        <v>513078</v>
      </c>
      <c r="C849" s="47" t="s">
        <v>523</v>
      </c>
      <c r="D849" s="48">
        <v>530</v>
      </c>
      <c r="E849" s="43" t="str">
        <f>IF(D849&lt;=0,"",VLOOKUP(D849,[1]FF!A:D,2,0))</f>
        <v>PARTICIPACIONES Ramo 28</v>
      </c>
      <c r="F849" s="37" t="s">
        <v>550</v>
      </c>
      <c r="G849" s="37" t="s">
        <v>458</v>
      </c>
      <c r="H849" s="49">
        <v>355001</v>
      </c>
      <c r="I849" s="44" t="str">
        <f>IF(H849&lt;=0,"",VLOOKUP(H849,[1]COG!A:H,2,0))</f>
        <v>Mantto. y conservación de vehículos terrestres, aéreos, marítimos, lacustres y fluviales</v>
      </c>
      <c r="J849" s="39">
        <v>76482</v>
      </c>
      <c r="K849" s="39">
        <v>81429</v>
      </c>
      <c r="L849" s="50"/>
      <c r="M849" s="50"/>
      <c r="N849" s="1">
        <f>Tabla5[[#This Row],[TRIMESTRE  I]]+Tabla5[[#This Row],[TRIMESTRE II]]+Tabla5[[#This Row],[TRIMESTRE III]]+Tabla5[[#This Row],[TRIMESTRE IV]]</f>
        <v>157911</v>
      </c>
      <c r="O849" s="39"/>
      <c r="P849" s="39"/>
      <c r="Q849" s="59"/>
    </row>
    <row r="850" spans="2:17" ht="22.5" x14ac:dyDescent="0.2">
      <c r="B850" s="46">
        <v>513078</v>
      </c>
      <c r="C850" s="47" t="s">
        <v>523</v>
      </c>
      <c r="D850" s="48">
        <v>530</v>
      </c>
      <c r="E850" s="43" t="str">
        <f>IF(D850&lt;=0,"",VLOOKUP(D850,[1]FF!A:D,2,0))</f>
        <v>PARTICIPACIONES Ramo 28</v>
      </c>
      <c r="F850" s="37" t="s">
        <v>550</v>
      </c>
      <c r="G850" s="37" t="s">
        <v>458</v>
      </c>
      <c r="H850" s="49">
        <v>375001</v>
      </c>
      <c r="I850" s="44" t="str">
        <f>IF(H850&lt;=0,"",VLOOKUP(H850,[1]COG!A:H,2,0))</f>
        <v>Viáticos</v>
      </c>
      <c r="J850" s="39">
        <v>51528</v>
      </c>
      <c r="K850" s="39">
        <v>51528</v>
      </c>
      <c r="L850" s="50"/>
      <c r="M850" s="50"/>
      <c r="N850" s="1">
        <f>Tabla5[[#This Row],[TRIMESTRE  I]]+Tabla5[[#This Row],[TRIMESTRE II]]+Tabla5[[#This Row],[TRIMESTRE III]]+Tabla5[[#This Row],[TRIMESTRE IV]]</f>
        <v>103056</v>
      </c>
      <c r="O850" s="39"/>
      <c r="P850" s="39"/>
      <c r="Q850" s="59"/>
    </row>
    <row r="851" spans="2:17" x14ac:dyDescent="0.2">
      <c r="B851" s="46">
        <v>514079</v>
      </c>
      <c r="C851" s="47" t="s">
        <v>551</v>
      </c>
      <c r="D851" s="48">
        <v>530</v>
      </c>
      <c r="E851" s="43" t="str">
        <f>IF(D851&lt;=0,"",VLOOKUP(D851,[1]FF!A:D,2,0))</f>
        <v>PARTICIPACIONES Ramo 28</v>
      </c>
      <c r="F851" s="37" t="s">
        <v>552</v>
      </c>
      <c r="G851" s="37" t="s">
        <v>458</v>
      </c>
      <c r="H851" s="49">
        <v>311001</v>
      </c>
      <c r="I851" s="44" t="str">
        <f>IF(H851&lt;=0,"",VLOOKUP(H851,[1]COG!A:H,2,0))</f>
        <v>Servicio de energía eléctrica</v>
      </c>
      <c r="J851" s="39">
        <v>15588</v>
      </c>
      <c r="K851" s="39">
        <v>10392</v>
      </c>
      <c r="L851" s="50"/>
      <c r="M851" s="50"/>
      <c r="N851" s="1">
        <f>Tabla5[[#This Row],[TRIMESTRE  I]]+Tabla5[[#This Row],[TRIMESTRE II]]+Tabla5[[#This Row],[TRIMESTRE III]]+Tabla5[[#This Row],[TRIMESTRE IV]]</f>
        <v>25980</v>
      </c>
      <c r="O851" s="39"/>
      <c r="P851" s="39"/>
      <c r="Q851" s="59"/>
    </row>
    <row r="852" spans="2:17" ht="18" x14ac:dyDescent="0.2">
      <c r="B852" s="46">
        <v>514080</v>
      </c>
      <c r="C852" s="47" t="s">
        <v>574</v>
      </c>
      <c r="D852" s="48">
        <v>531</v>
      </c>
      <c r="E852" s="43" t="e">
        <f>IF(D852&lt;=0,"",VLOOKUP(D852,[1]FF!A:D,2,0))</f>
        <v>#N/A</v>
      </c>
      <c r="F852" s="37" t="s">
        <v>552</v>
      </c>
      <c r="G852" s="37" t="s">
        <v>458</v>
      </c>
      <c r="H852" s="49">
        <v>336002</v>
      </c>
      <c r="I852" s="44" t="str">
        <f>IF(H852&lt;=0,"",VLOOKUP(H852,[1]COG!A:H,2,0))</f>
        <v>Servicio de Impresión y Elaboración de Material Informativo</v>
      </c>
      <c r="J852" s="39"/>
      <c r="K852" s="39">
        <v>1020000</v>
      </c>
      <c r="L852" s="50"/>
      <c r="M852" s="50"/>
      <c r="N852" s="1">
        <f>Tabla5[[#This Row],[TRIMESTRE  I]]+Tabla5[[#This Row],[TRIMESTRE II]]+Tabla5[[#This Row],[TRIMESTRE III]]+Tabla5[[#This Row],[TRIMESTRE IV]]</f>
        <v>1020000</v>
      </c>
      <c r="O852" s="39"/>
      <c r="P852" s="39"/>
      <c r="Q852" s="59"/>
    </row>
    <row r="853" spans="2:17" x14ac:dyDescent="0.2">
      <c r="B853" s="46">
        <v>514079</v>
      </c>
      <c r="C853" s="47" t="s">
        <v>551</v>
      </c>
      <c r="D853" s="48">
        <v>530</v>
      </c>
      <c r="E853" s="43" t="str">
        <f>IF(D853&lt;=0,"",VLOOKUP(D853,[1]FF!A:D,2,0))</f>
        <v>PARTICIPACIONES Ramo 28</v>
      </c>
      <c r="F853" s="37" t="s">
        <v>552</v>
      </c>
      <c r="G853" s="37" t="s">
        <v>458</v>
      </c>
      <c r="H853" s="49">
        <v>351001</v>
      </c>
      <c r="I853" s="44" t="str">
        <f>IF(H853&lt;=0,"",VLOOKUP(H853,[1]COG!A:H,2,0))</f>
        <v>Mantenimiento de inmuebles</v>
      </c>
      <c r="J853" s="39">
        <v>10873</v>
      </c>
      <c r="K853" s="39">
        <v>10654</v>
      </c>
      <c r="L853" s="50"/>
      <c r="M853" s="50"/>
      <c r="N853" s="1">
        <f>Tabla5[[#This Row],[TRIMESTRE  I]]+Tabla5[[#This Row],[TRIMESTRE II]]+Tabla5[[#This Row],[TRIMESTRE III]]+Tabla5[[#This Row],[TRIMESTRE IV]]</f>
        <v>21527</v>
      </c>
      <c r="O853" s="39"/>
      <c r="P853" s="39"/>
      <c r="Q853" s="59"/>
    </row>
    <row r="854" spans="2:17" x14ac:dyDescent="0.2">
      <c r="B854" s="46">
        <v>514079</v>
      </c>
      <c r="C854" s="47" t="s">
        <v>551</v>
      </c>
      <c r="D854" s="48">
        <v>530</v>
      </c>
      <c r="E854" s="43" t="str">
        <f>IF(D854&lt;=0,"",VLOOKUP(D854,[1]FF!A:D,2,0))</f>
        <v>PARTICIPACIONES Ramo 28</v>
      </c>
      <c r="F854" s="37" t="s">
        <v>552</v>
      </c>
      <c r="G854" s="37" t="s">
        <v>458</v>
      </c>
      <c r="H854" s="49">
        <v>352001</v>
      </c>
      <c r="I854" s="44" t="str">
        <f>IF(H854&lt;=0,"",VLOOKUP(H854,[1]COG!A:H,2,0))</f>
        <v>Mantenimiento de mobiliario y equipo</v>
      </c>
      <c r="J854" s="39">
        <v>65057</v>
      </c>
      <c r="K854" s="39">
        <v>65031</v>
      </c>
      <c r="L854" s="50"/>
      <c r="M854" s="50"/>
      <c r="N854" s="1">
        <f>Tabla5[[#This Row],[TRIMESTRE  I]]+Tabla5[[#This Row],[TRIMESTRE II]]+Tabla5[[#This Row],[TRIMESTRE III]]+Tabla5[[#This Row],[TRIMESTRE IV]]</f>
        <v>130088</v>
      </c>
      <c r="O854" s="39"/>
      <c r="P854" s="39"/>
      <c r="Q854" s="59"/>
    </row>
    <row r="855" spans="2:17" x14ac:dyDescent="0.2">
      <c r="B855" s="46">
        <v>514079</v>
      </c>
      <c r="C855" s="47" t="s">
        <v>551</v>
      </c>
      <c r="D855" s="48">
        <v>530</v>
      </c>
      <c r="E855" s="43" t="str">
        <f>IF(D855&lt;=0,"",VLOOKUP(D855,[1]FF!A:D,2,0))</f>
        <v>PARTICIPACIONES Ramo 28</v>
      </c>
      <c r="F855" s="37" t="s">
        <v>552</v>
      </c>
      <c r="G855" s="37" t="s">
        <v>458</v>
      </c>
      <c r="H855" s="49">
        <v>352002</v>
      </c>
      <c r="I855" s="44" t="str">
        <f>IF(H855&lt;=0,"",VLOOKUP(H855,[1]COG!A:H,2,0))</f>
        <v>Gastos de instalación</v>
      </c>
      <c r="J855" s="39">
        <v>1545</v>
      </c>
      <c r="K855" s="39">
        <v>1515</v>
      </c>
      <c r="L855" s="50"/>
      <c r="M855" s="50"/>
      <c r="N855" s="1">
        <f>Tabla5[[#This Row],[TRIMESTRE  I]]+Tabla5[[#This Row],[TRIMESTRE II]]+Tabla5[[#This Row],[TRIMESTRE III]]+Tabla5[[#This Row],[TRIMESTRE IV]]</f>
        <v>3060</v>
      </c>
      <c r="O855" s="39"/>
      <c r="P855" s="39"/>
      <c r="Q855" s="59"/>
    </row>
    <row r="856" spans="2:17" ht="27" x14ac:dyDescent="0.2">
      <c r="B856" s="46">
        <v>514079</v>
      </c>
      <c r="C856" s="47" t="s">
        <v>551</v>
      </c>
      <c r="D856" s="48">
        <v>530</v>
      </c>
      <c r="E856" s="43" t="str">
        <f>IF(D856&lt;=0,"",VLOOKUP(D856,[1]FF!A:D,2,0))</f>
        <v>PARTICIPACIONES Ramo 28</v>
      </c>
      <c r="F856" s="37" t="s">
        <v>552</v>
      </c>
      <c r="G856" s="37" t="s">
        <v>458</v>
      </c>
      <c r="H856" s="49">
        <v>355001</v>
      </c>
      <c r="I856" s="44" t="str">
        <f>IF(H856&lt;=0,"",VLOOKUP(H856,[1]COG!A:H,2,0))</f>
        <v>Mantto. y conservación de vehículos terrestres, aéreos, marítimos, lacustres y fluviales</v>
      </c>
      <c r="J856" s="39">
        <v>82657</v>
      </c>
      <c r="K856" s="39">
        <v>82624</v>
      </c>
      <c r="L856" s="50"/>
      <c r="M856" s="50"/>
      <c r="N856" s="1">
        <f>Tabla5[[#This Row],[TRIMESTRE  I]]+Tabla5[[#This Row],[TRIMESTRE II]]+Tabla5[[#This Row],[TRIMESTRE III]]+Tabla5[[#This Row],[TRIMESTRE IV]]</f>
        <v>165281</v>
      </c>
      <c r="O856" s="39"/>
      <c r="P856" s="39"/>
      <c r="Q856" s="59"/>
    </row>
    <row r="857" spans="2:17" x14ac:dyDescent="0.2">
      <c r="B857" s="46">
        <v>514079</v>
      </c>
      <c r="C857" s="47" t="s">
        <v>551</v>
      </c>
      <c r="D857" s="48">
        <v>530</v>
      </c>
      <c r="E857" s="43" t="str">
        <f>IF(D857&lt;=0,"",VLOOKUP(D857,[1]FF!A:D,2,0))</f>
        <v>PARTICIPACIONES Ramo 28</v>
      </c>
      <c r="F857" s="37" t="s">
        <v>552</v>
      </c>
      <c r="G857" s="37" t="s">
        <v>458</v>
      </c>
      <c r="H857" s="49">
        <v>358001</v>
      </c>
      <c r="I857" s="44" t="str">
        <f>IF(H857&lt;=0,"",VLOOKUP(H857,[1]COG!A:H,2,0))</f>
        <v>Servicios de higiene y limpieza</v>
      </c>
      <c r="J857" s="39">
        <v>304</v>
      </c>
      <c r="K857" s="39">
        <v>202</v>
      </c>
      <c r="L857" s="50"/>
      <c r="M857" s="50"/>
      <c r="N857" s="1">
        <f>Tabla5[[#This Row],[TRIMESTRE  I]]+Tabla5[[#This Row],[TRIMESTRE II]]+Tabla5[[#This Row],[TRIMESTRE III]]+Tabla5[[#This Row],[TRIMESTRE IV]]</f>
        <v>506</v>
      </c>
      <c r="O857" s="39"/>
      <c r="P857" s="39"/>
      <c r="Q857" s="59"/>
    </row>
    <row r="858" spans="2:17" x14ac:dyDescent="0.2">
      <c r="B858" s="46">
        <v>514079</v>
      </c>
      <c r="C858" s="47" t="s">
        <v>551</v>
      </c>
      <c r="D858" s="48">
        <v>530</v>
      </c>
      <c r="E858" s="43" t="str">
        <f>IF(D858&lt;=0,"",VLOOKUP(D858,[1]FF!A:D,2,0))</f>
        <v>PARTICIPACIONES Ramo 28</v>
      </c>
      <c r="F858" s="37" t="s">
        <v>552</v>
      </c>
      <c r="G858" s="37" t="s">
        <v>458</v>
      </c>
      <c r="H858" s="49">
        <v>361002</v>
      </c>
      <c r="I858" s="44" t="str">
        <f>IF(H858&lt;=0,"",VLOOKUP(H858,[1]COG!A:H,2,0))</f>
        <v>Impresiones y publicaciones oficiales</v>
      </c>
      <c r="J858" s="39">
        <v>8862</v>
      </c>
      <c r="K858" s="39">
        <v>8682</v>
      </c>
      <c r="L858" s="50"/>
      <c r="M858" s="50"/>
      <c r="N858" s="1">
        <f>Tabla5[[#This Row],[TRIMESTRE  I]]+Tabla5[[#This Row],[TRIMESTRE II]]+Tabla5[[#This Row],[TRIMESTRE III]]+Tabla5[[#This Row],[TRIMESTRE IV]]</f>
        <v>17544</v>
      </c>
      <c r="O858" s="39"/>
      <c r="P858" s="39"/>
      <c r="Q858" s="59"/>
    </row>
    <row r="859" spans="2:17" x14ac:dyDescent="0.2">
      <c r="B859" s="46">
        <v>514079</v>
      </c>
      <c r="C859" s="47" t="s">
        <v>551</v>
      </c>
      <c r="D859" s="48">
        <v>530</v>
      </c>
      <c r="E859" s="43" t="str">
        <f>IF(D859&lt;=0,"",VLOOKUP(D859,[1]FF!A:D,2,0))</f>
        <v>PARTICIPACIONES Ramo 28</v>
      </c>
      <c r="F859" s="37" t="s">
        <v>552</v>
      </c>
      <c r="G859" s="37" t="s">
        <v>458</v>
      </c>
      <c r="H859" s="49">
        <v>371001</v>
      </c>
      <c r="I859" s="44" t="str">
        <f>IF(H859&lt;=0,"",VLOOKUP(H859,[1]COG!A:H,2,0))</f>
        <v>Pasajes aéreos</v>
      </c>
      <c r="J859" s="39">
        <v>6338</v>
      </c>
      <c r="K859" s="39">
        <v>6211</v>
      </c>
      <c r="L859" s="50"/>
      <c r="M859" s="50"/>
      <c r="N859" s="1">
        <f>Tabla5[[#This Row],[TRIMESTRE  I]]+Tabla5[[#This Row],[TRIMESTRE II]]+Tabla5[[#This Row],[TRIMESTRE III]]+Tabla5[[#This Row],[TRIMESTRE IV]]</f>
        <v>12549</v>
      </c>
      <c r="O859" s="39"/>
      <c r="P859" s="39"/>
      <c r="Q859" s="59"/>
    </row>
    <row r="860" spans="2:17" x14ac:dyDescent="0.2">
      <c r="B860" s="46">
        <v>514079</v>
      </c>
      <c r="C860" s="47" t="s">
        <v>551</v>
      </c>
      <c r="D860" s="48">
        <v>530</v>
      </c>
      <c r="E860" s="43" t="str">
        <f>IF(D860&lt;=0,"",VLOOKUP(D860,[1]FF!A:D,2,0))</f>
        <v>PARTICIPACIONES Ramo 28</v>
      </c>
      <c r="F860" s="37" t="s">
        <v>552</v>
      </c>
      <c r="G860" s="37" t="s">
        <v>458</v>
      </c>
      <c r="H860" s="49">
        <v>375001</v>
      </c>
      <c r="I860" s="44" t="str">
        <f>IF(H860&lt;=0,"",VLOOKUP(H860,[1]COG!A:H,2,0))</f>
        <v>Viáticos</v>
      </c>
      <c r="J860" s="39">
        <v>19166.68</v>
      </c>
      <c r="K860" s="39">
        <v>6601</v>
      </c>
      <c r="L860" s="50"/>
      <c r="M860" s="50"/>
      <c r="N860" s="1">
        <f>Tabla5[[#This Row],[TRIMESTRE  I]]+Tabla5[[#This Row],[TRIMESTRE II]]+Tabla5[[#This Row],[TRIMESTRE III]]+Tabla5[[#This Row],[TRIMESTRE IV]]</f>
        <v>25767.68</v>
      </c>
      <c r="O860" s="39"/>
      <c r="P860" s="39"/>
      <c r="Q860" s="59"/>
    </row>
    <row r="861" spans="2:17" ht="22.5" x14ac:dyDescent="0.2">
      <c r="B861" s="46">
        <v>514080</v>
      </c>
      <c r="C861" s="47" t="s">
        <v>551</v>
      </c>
      <c r="D861" s="48">
        <v>530</v>
      </c>
      <c r="E861" s="43" t="str">
        <f>IF(D861&lt;=0,"",VLOOKUP(D861,[1]FF!A:D,2,0))</f>
        <v>PARTICIPACIONES Ramo 28</v>
      </c>
      <c r="F861" s="37" t="s">
        <v>553</v>
      </c>
      <c r="G861" s="37" t="s">
        <v>458</v>
      </c>
      <c r="H861" s="49">
        <v>375001</v>
      </c>
      <c r="I861" s="44" t="str">
        <f>IF(H861&lt;=0,"",VLOOKUP(H861,[1]COG!A:H,2,0))</f>
        <v>Viáticos</v>
      </c>
      <c r="J861" s="39">
        <v>6114</v>
      </c>
      <c r="K861" s="39">
        <v>6114</v>
      </c>
      <c r="L861" s="50"/>
      <c r="M861" s="50"/>
      <c r="N861" s="1">
        <f>Tabla5[[#This Row],[TRIMESTRE  I]]+Tabla5[[#This Row],[TRIMESTRE II]]+Tabla5[[#This Row],[TRIMESTRE III]]+Tabla5[[#This Row],[TRIMESTRE IV]]</f>
        <v>12228</v>
      </c>
      <c r="O861" s="39"/>
      <c r="P861" s="39"/>
      <c r="Q861" s="59"/>
    </row>
    <row r="862" spans="2:17" ht="22.5" x14ac:dyDescent="0.2">
      <c r="B862" s="46">
        <v>514081</v>
      </c>
      <c r="C862" s="47" t="s">
        <v>551</v>
      </c>
      <c r="D862" s="48">
        <v>530</v>
      </c>
      <c r="E862" s="43" t="str">
        <f>IF(D862&lt;=0,"",VLOOKUP(D862,[1]FF!A:D,2,0))</f>
        <v>PARTICIPACIONES Ramo 28</v>
      </c>
      <c r="F862" s="37" t="s">
        <v>554</v>
      </c>
      <c r="G862" s="37" t="s">
        <v>458</v>
      </c>
      <c r="H862" s="49">
        <v>375001</v>
      </c>
      <c r="I862" s="44" t="str">
        <f>IF(H862&lt;=0,"",VLOOKUP(H862,[1]COG!A:H,2,0))</f>
        <v>Viáticos</v>
      </c>
      <c r="J862" s="39">
        <v>6114</v>
      </c>
      <c r="K862" s="39">
        <v>6114</v>
      </c>
      <c r="L862" s="50"/>
      <c r="M862" s="50"/>
      <c r="N862" s="1">
        <f>Tabla5[[#This Row],[TRIMESTRE  I]]+Tabla5[[#This Row],[TRIMESTRE II]]+Tabla5[[#This Row],[TRIMESTRE III]]+Tabla5[[#This Row],[TRIMESTRE IV]]</f>
        <v>12228</v>
      </c>
      <c r="O862" s="39"/>
      <c r="P862" s="39"/>
      <c r="Q862" s="59"/>
    </row>
    <row r="863" spans="2:17" ht="22.5" x14ac:dyDescent="0.2">
      <c r="B863" s="46">
        <v>514082</v>
      </c>
      <c r="C863" s="47" t="s">
        <v>551</v>
      </c>
      <c r="D863" s="48">
        <v>530</v>
      </c>
      <c r="E863" s="43" t="str">
        <f>IF(D863&lt;=0,"",VLOOKUP(D863,[1]FF!A:D,2,0))</f>
        <v>PARTICIPACIONES Ramo 28</v>
      </c>
      <c r="F863" s="37" t="s">
        <v>575</v>
      </c>
      <c r="G863" s="37" t="s">
        <v>458</v>
      </c>
      <c r="H863" s="49">
        <v>375001</v>
      </c>
      <c r="I863" s="44" t="str">
        <f>IF(H863&lt;=0,"",VLOOKUP(H863,[1]COG!A:H,2,0))</f>
        <v>Viáticos</v>
      </c>
      <c r="J863" s="39">
        <v>6114</v>
      </c>
      <c r="K863" s="39">
        <v>6114</v>
      </c>
      <c r="L863" s="50"/>
      <c r="M863" s="50"/>
      <c r="N863" s="1">
        <f>Tabla5[[#This Row],[TRIMESTRE  I]]+Tabla5[[#This Row],[TRIMESTRE II]]+Tabla5[[#This Row],[TRIMESTRE III]]+Tabla5[[#This Row],[TRIMESTRE IV]]</f>
        <v>12228</v>
      </c>
      <c r="O863" s="39"/>
      <c r="P863" s="39"/>
      <c r="Q863" s="59"/>
    </row>
    <row r="864" spans="2:17" ht="22.5" x14ac:dyDescent="0.2">
      <c r="B864" s="46">
        <v>514083</v>
      </c>
      <c r="C864" s="47" t="s">
        <v>551</v>
      </c>
      <c r="D864" s="48">
        <v>530</v>
      </c>
      <c r="E864" s="43" t="str">
        <f>IF(D864&lt;=0,"",VLOOKUP(D864,[1]FF!A:D,2,0))</f>
        <v>PARTICIPACIONES Ramo 28</v>
      </c>
      <c r="F864" s="37" t="s">
        <v>556</v>
      </c>
      <c r="G864" s="37" t="s">
        <v>458</v>
      </c>
      <c r="H864" s="49">
        <v>375001</v>
      </c>
      <c r="I864" s="44" t="str">
        <f>IF(H864&lt;=0,"",VLOOKUP(H864,[1]COG!A:H,2,0))</f>
        <v>Viáticos</v>
      </c>
      <c r="J864" s="39">
        <v>6114</v>
      </c>
      <c r="K864" s="39">
        <v>6114</v>
      </c>
      <c r="L864" s="50"/>
      <c r="M864" s="50"/>
      <c r="N864" s="1">
        <f>Tabla5[[#This Row],[TRIMESTRE  I]]+Tabla5[[#This Row],[TRIMESTRE II]]+Tabla5[[#This Row],[TRIMESTRE III]]+Tabla5[[#This Row],[TRIMESTRE IV]]</f>
        <v>12228</v>
      </c>
      <c r="O864" s="39"/>
      <c r="P864" s="39"/>
      <c r="Q864" s="59"/>
    </row>
    <row r="865" spans="2:33" ht="22.5" x14ac:dyDescent="0.2">
      <c r="B865" s="46">
        <v>514084</v>
      </c>
      <c r="C865" s="47" t="s">
        <v>551</v>
      </c>
      <c r="D865" s="48">
        <v>530</v>
      </c>
      <c r="E865" s="43" t="str">
        <f>IF(D865&lt;=0,"",VLOOKUP(D865,[1]FF!A:D,2,0))</f>
        <v>PARTICIPACIONES Ramo 28</v>
      </c>
      <c r="F865" s="37" t="s">
        <v>576</v>
      </c>
      <c r="G865" s="37" t="s">
        <v>458</v>
      </c>
      <c r="H865" s="49">
        <v>375001</v>
      </c>
      <c r="I865" s="44" t="str">
        <f>IF(H865&lt;=0,"",VLOOKUP(H865,[1]COG!A:H,2,0))</f>
        <v>Viáticos</v>
      </c>
      <c r="J865" s="39">
        <v>6114</v>
      </c>
      <c r="K865" s="39">
        <v>6114</v>
      </c>
      <c r="L865" s="50"/>
      <c r="M865" s="50"/>
      <c r="N865" s="1">
        <f>Tabla5[[#This Row],[TRIMESTRE  I]]+Tabla5[[#This Row],[TRIMESTRE II]]+Tabla5[[#This Row],[TRIMESTRE III]]+Tabla5[[#This Row],[TRIMESTRE IV]]</f>
        <v>12228</v>
      </c>
      <c r="O865" s="39"/>
      <c r="P865" s="39"/>
      <c r="Q865" s="59"/>
    </row>
    <row r="866" spans="2:33" ht="22.5" x14ac:dyDescent="0.2">
      <c r="B866" s="46">
        <v>515085</v>
      </c>
      <c r="C866" s="47" t="s">
        <v>557</v>
      </c>
      <c r="D866" s="48">
        <v>530</v>
      </c>
      <c r="E866" s="43" t="str">
        <f>IF(D866&lt;=0,"",VLOOKUP(D866,[1]FF!A:D,2,0))</f>
        <v>PARTICIPACIONES Ramo 28</v>
      </c>
      <c r="F866" s="37" t="s">
        <v>558</v>
      </c>
      <c r="G866" s="37" t="s">
        <v>458</v>
      </c>
      <c r="H866" s="49">
        <v>322001</v>
      </c>
      <c r="I866" s="44" t="str">
        <f>IF(H866&lt;=0,"",VLOOKUP(H866,[1]COG!A:H,2,0))</f>
        <v>Arrendamiento de edificios</v>
      </c>
      <c r="J866" s="39">
        <v>41064</v>
      </c>
      <c r="K866" s="39">
        <v>41064</v>
      </c>
      <c r="L866" s="50"/>
      <c r="M866" s="50"/>
      <c r="N866" s="1">
        <f>Tabla5[[#This Row],[TRIMESTRE  I]]+Tabla5[[#This Row],[TRIMESTRE II]]+Tabla5[[#This Row],[TRIMESTRE III]]+Tabla5[[#This Row],[TRIMESTRE IV]]</f>
        <v>82128</v>
      </c>
      <c r="O866" s="39"/>
      <c r="P866" s="39"/>
      <c r="Q866" s="59"/>
    </row>
    <row r="867" spans="2:33" ht="22.5" x14ac:dyDescent="0.2">
      <c r="B867" s="46">
        <v>515085</v>
      </c>
      <c r="C867" s="47" t="s">
        <v>577</v>
      </c>
      <c r="D867" s="48">
        <v>530</v>
      </c>
      <c r="E867" s="43" t="str">
        <f>IF(D867&lt;=0,"",VLOOKUP(D867,[1]FF!A:D,2,0))</f>
        <v>PARTICIPACIONES Ramo 28</v>
      </c>
      <c r="F867" s="37" t="s">
        <v>558</v>
      </c>
      <c r="G867" s="37" t="s">
        <v>458</v>
      </c>
      <c r="H867" s="49">
        <v>336002</v>
      </c>
      <c r="I867" s="44" t="str">
        <f>IF(H867&lt;=0,"",VLOOKUP(H867,[1]COG!A:H,2,0))</f>
        <v>Servicio de Impresión y Elaboración de Material Informativo</v>
      </c>
      <c r="J867" s="39">
        <v>0</v>
      </c>
      <c r="K867" s="39">
        <v>416500</v>
      </c>
      <c r="L867" s="50"/>
      <c r="M867" s="50"/>
      <c r="N867" s="1">
        <f>Tabla5[[#This Row],[TRIMESTRE  I]]+Tabla5[[#This Row],[TRIMESTRE II]]+Tabla5[[#This Row],[TRIMESTRE III]]+Tabla5[[#This Row],[TRIMESTRE IV]]</f>
        <v>416500</v>
      </c>
      <c r="O867" s="39"/>
      <c r="P867" s="39"/>
      <c r="Q867" s="59"/>
    </row>
    <row r="868" spans="2:33" ht="22.5" x14ac:dyDescent="0.2">
      <c r="B868" s="46">
        <v>515085</v>
      </c>
      <c r="C868" s="47" t="s">
        <v>557</v>
      </c>
      <c r="D868" s="48">
        <v>530</v>
      </c>
      <c r="E868" s="43" t="str">
        <f>IF(D868&lt;=0,"",VLOOKUP(D868,[1]FF!A:D,2,0))</f>
        <v>PARTICIPACIONES Ramo 28</v>
      </c>
      <c r="F868" s="37" t="s">
        <v>558</v>
      </c>
      <c r="G868" s="37" t="s">
        <v>458</v>
      </c>
      <c r="H868" s="49">
        <v>352001</v>
      </c>
      <c r="I868" s="44" t="str">
        <f>IF(H868&lt;=0,"",VLOOKUP(H868,[1]COG!A:H,2,0))</f>
        <v>Mantenimiento de mobiliario y equipo</v>
      </c>
      <c r="J868" s="39">
        <v>63750</v>
      </c>
      <c r="K868" s="39">
        <v>63750</v>
      </c>
      <c r="L868" s="50"/>
      <c r="M868" s="50"/>
      <c r="N868" s="1">
        <f>Tabla5[[#This Row],[TRIMESTRE  I]]+Tabla5[[#This Row],[TRIMESTRE II]]+Tabla5[[#This Row],[TRIMESTRE III]]+Tabla5[[#This Row],[TRIMESTRE IV]]</f>
        <v>127500</v>
      </c>
      <c r="O868" s="39"/>
      <c r="P868" s="39"/>
      <c r="Q868" s="59"/>
    </row>
    <row r="869" spans="2:33" ht="27" x14ac:dyDescent="0.2">
      <c r="B869" s="46">
        <v>515085</v>
      </c>
      <c r="C869" s="47" t="s">
        <v>557</v>
      </c>
      <c r="D869" s="48">
        <v>530</v>
      </c>
      <c r="E869" s="43" t="str">
        <f>IF(D869&lt;=0,"",VLOOKUP(D869,[1]FF!A:D,2,0))</f>
        <v>PARTICIPACIONES Ramo 28</v>
      </c>
      <c r="F869" s="37" t="s">
        <v>558</v>
      </c>
      <c r="G869" s="37" t="s">
        <v>458</v>
      </c>
      <c r="H869" s="49">
        <v>355001</v>
      </c>
      <c r="I869" s="44" t="str">
        <f>IF(H869&lt;=0,"",VLOOKUP(H869,[1]COG!A:H,2,0))</f>
        <v>Mantto. y conservación de vehículos terrestres, aéreos, marítimos, lacustres y fluviales</v>
      </c>
      <c r="J869" s="39">
        <v>45000</v>
      </c>
      <c r="K869" s="39">
        <v>45000</v>
      </c>
      <c r="L869" s="50"/>
      <c r="M869" s="50"/>
      <c r="N869" s="1">
        <f>Tabla5[[#This Row],[TRIMESTRE  I]]+Tabla5[[#This Row],[TRIMESTRE II]]+Tabla5[[#This Row],[TRIMESTRE III]]+Tabla5[[#This Row],[TRIMESTRE IV]]</f>
        <v>90000</v>
      </c>
      <c r="O869" s="39"/>
      <c r="P869" s="39"/>
      <c r="Q869" s="59"/>
    </row>
    <row r="870" spans="2:33" ht="22.5" x14ac:dyDescent="0.2">
      <c r="B870" s="46">
        <v>515085</v>
      </c>
      <c r="C870" s="47" t="s">
        <v>557</v>
      </c>
      <c r="D870" s="48">
        <v>530</v>
      </c>
      <c r="E870" s="43" t="str">
        <f>IF(D870&lt;=0,"",VLOOKUP(D870,[1]FF!A:D,2,0))</f>
        <v>PARTICIPACIONES Ramo 28</v>
      </c>
      <c r="F870" s="37" t="s">
        <v>558</v>
      </c>
      <c r="G870" s="37" t="s">
        <v>458</v>
      </c>
      <c r="H870" s="49">
        <v>371001</v>
      </c>
      <c r="I870" s="44" t="str">
        <f>IF(H870&lt;=0,"",VLOOKUP(H870,[1]COG!A:H,2,0))</f>
        <v>Pasajes aéreos</v>
      </c>
      <c r="J870" s="39">
        <v>22060.880000000001</v>
      </c>
      <c r="K870" s="39">
        <v>0</v>
      </c>
      <c r="L870" s="50"/>
      <c r="M870" s="50"/>
      <c r="N870" s="1">
        <f>Tabla5[[#This Row],[TRIMESTRE  I]]+Tabla5[[#This Row],[TRIMESTRE II]]+Tabla5[[#This Row],[TRIMESTRE III]]+Tabla5[[#This Row],[TRIMESTRE IV]]</f>
        <v>22060.880000000001</v>
      </c>
      <c r="O870" s="39"/>
      <c r="P870" s="39"/>
      <c r="Q870" s="59"/>
    </row>
    <row r="871" spans="2:33" ht="22.5" x14ac:dyDescent="0.2">
      <c r="B871" s="46">
        <v>515085</v>
      </c>
      <c r="C871" s="47" t="s">
        <v>557</v>
      </c>
      <c r="D871" s="48">
        <v>530</v>
      </c>
      <c r="E871" s="43" t="str">
        <f>IF(D871&lt;=0,"",VLOOKUP(D871,[1]FF!A:D,2,0))</f>
        <v>PARTICIPACIONES Ramo 28</v>
      </c>
      <c r="F871" s="37" t="s">
        <v>558</v>
      </c>
      <c r="G871" s="37" t="s">
        <v>458</v>
      </c>
      <c r="H871" s="49">
        <v>375001</v>
      </c>
      <c r="I871" s="44" t="str">
        <f>IF(H871&lt;=0,"",VLOOKUP(H871,[1]COG!A:H,2,0))</f>
        <v>Viáticos</v>
      </c>
      <c r="J871" s="39">
        <v>40240.92</v>
      </c>
      <c r="K871" s="39">
        <v>38250</v>
      </c>
      <c r="L871" s="50"/>
      <c r="M871" s="50"/>
      <c r="N871" s="1">
        <f>Tabla5[[#This Row],[TRIMESTRE  I]]+Tabla5[[#This Row],[TRIMESTRE II]]+Tabla5[[#This Row],[TRIMESTRE III]]+Tabla5[[#This Row],[TRIMESTRE IV]]</f>
        <v>78490.92</v>
      </c>
      <c r="O871" s="39"/>
      <c r="P871" s="39"/>
      <c r="Q871" s="59"/>
    </row>
    <row r="872" spans="2:33" ht="33.75" x14ac:dyDescent="0.2">
      <c r="B872" s="46">
        <v>515090</v>
      </c>
      <c r="C872" s="47" t="s">
        <v>557</v>
      </c>
      <c r="D872" s="48">
        <v>530</v>
      </c>
      <c r="E872" s="43" t="str">
        <f>IF(D872&lt;=0,"",VLOOKUP(D872,[1]FF!A:D,2,0))</f>
        <v>PARTICIPACIONES Ramo 28</v>
      </c>
      <c r="F872" s="37" t="s">
        <v>563</v>
      </c>
      <c r="G872" s="37" t="s">
        <v>458</v>
      </c>
      <c r="H872" s="49">
        <v>322001</v>
      </c>
      <c r="I872" s="44" t="str">
        <f>IF(H872&lt;=0,"",VLOOKUP(H872,[1]COG!A:H,2,0))</f>
        <v>Arrendamiento de edificios</v>
      </c>
      <c r="J872" s="39">
        <v>121035</v>
      </c>
      <c r="K872" s="39">
        <v>121035</v>
      </c>
      <c r="L872" s="50"/>
      <c r="M872" s="50"/>
      <c r="N872" s="1">
        <f>Tabla5[[#This Row],[TRIMESTRE  I]]+Tabla5[[#This Row],[TRIMESTRE II]]+Tabla5[[#This Row],[TRIMESTRE III]]+Tabla5[[#This Row],[TRIMESTRE IV]]</f>
        <v>242070</v>
      </c>
      <c r="O872" s="39"/>
      <c r="P872" s="39"/>
      <c r="Q872" s="59"/>
    </row>
    <row r="873" spans="2:33" x14ac:dyDescent="0.2">
      <c r="B873" s="34"/>
      <c r="C873" s="35"/>
      <c r="D873" s="36"/>
      <c r="E873" s="42"/>
      <c r="F873" s="37"/>
      <c r="G873" s="37"/>
      <c r="H873" s="38"/>
      <c r="I873" s="41"/>
      <c r="J873" s="39"/>
      <c r="K873" s="39"/>
      <c r="L873" s="39"/>
      <c r="M873" s="39"/>
      <c r="N873" s="1">
        <f>SUBTOTAL(109,Tabla5[[PRESUPUESTO ANUAL AUTORIZADO ]])</f>
        <v>69636810.399999991</v>
      </c>
      <c r="O873" s="39"/>
      <c r="P873" s="39"/>
      <c r="Q873" s="59"/>
    </row>
    <row r="874" spans="2:33" x14ac:dyDescent="0.2">
      <c r="B874" s="46"/>
      <c r="C874" s="47"/>
      <c r="D874" s="48"/>
      <c r="E874" s="43"/>
      <c r="F874" s="37"/>
      <c r="G874" s="37"/>
      <c r="H874" s="49"/>
      <c r="I874" s="44"/>
      <c r="J874" s="39"/>
      <c r="K874" s="39"/>
      <c r="L874" s="50"/>
      <c r="M874" s="50"/>
      <c r="N874" s="1"/>
      <c r="O874" s="39"/>
      <c r="P874" s="39"/>
      <c r="Q874" s="59"/>
    </row>
    <row r="875" spans="2:33" s="106" customFormat="1" ht="22.5" customHeight="1" x14ac:dyDescent="0.2">
      <c r="B875" s="112" t="s">
        <v>4</v>
      </c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</row>
    <row r="876" spans="2:33" s="106" customFormat="1" ht="18.75" customHeight="1" x14ac:dyDescent="0.2">
      <c r="B876" s="113" t="s">
        <v>750</v>
      </c>
      <c r="C876" s="113"/>
      <c r="D876" s="113"/>
      <c r="E876" s="113"/>
      <c r="F876" s="113"/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</row>
    <row r="877" spans="2:33" s="106" customFormat="1" ht="23.25" x14ac:dyDescent="0.2">
      <c r="B877" s="114" t="s">
        <v>466</v>
      </c>
      <c r="C877" s="114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</row>
    <row r="878" spans="2:33" s="107" customFormat="1" ht="48" customHeight="1" x14ac:dyDescent="0.2">
      <c r="B878" s="5" t="s">
        <v>9</v>
      </c>
      <c r="C878" s="5" t="s">
        <v>10</v>
      </c>
      <c r="D878" s="5" t="s">
        <v>1</v>
      </c>
      <c r="E878" s="5" t="s">
        <v>0</v>
      </c>
      <c r="F878" s="5" t="s">
        <v>17</v>
      </c>
      <c r="G878" s="5" t="s">
        <v>2</v>
      </c>
      <c r="H878" s="5" t="s">
        <v>11</v>
      </c>
      <c r="I878" s="5" t="s">
        <v>16</v>
      </c>
      <c r="J878" s="5" t="s">
        <v>465</v>
      </c>
      <c r="K878" s="5" t="s">
        <v>462</v>
      </c>
      <c r="L878" s="5" t="s">
        <v>463</v>
      </c>
      <c r="M878" s="5" t="s">
        <v>464</v>
      </c>
      <c r="N878" s="5" t="s">
        <v>12</v>
      </c>
      <c r="O878" s="5" t="s">
        <v>3</v>
      </c>
      <c r="P878" s="5" t="s">
        <v>13</v>
      </c>
      <c r="Q878" s="5" t="s">
        <v>8</v>
      </c>
      <c r="R878" s="106"/>
      <c r="S878" s="106"/>
      <c r="T878" s="106"/>
      <c r="U878" s="106"/>
      <c r="V878" s="106"/>
      <c r="W878" s="106"/>
      <c r="X878" s="106"/>
      <c r="Y878" s="106"/>
      <c r="Z878" s="106"/>
      <c r="AA878" s="106"/>
      <c r="AB878" s="106"/>
      <c r="AC878" s="106"/>
      <c r="AD878" s="106"/>
      <c r="AE878" s="106"/>
      <c r="AF878" s="106"/>
      <c r="AG878" s="106"/>
    </row>
    <row r="879" spans="2:33" s="106" customFormat="1" ht="37.5" customHeight="1" x14ac:dyDescent="0.2">
      <c r="B879" s="34">
        <v>516</v>
      </c>
      <c r="C879" s="35" t="s">
        <v>749</v>
      </c>
      <c r="D879" s="36">
        <v>530</v>
      </c>
      <c r="E879" s="42" t="str">
        <f>IF(D879&lt;=0,"",VLOOKUP(D879,[5]FF!A:D,2,0))</f>
        <v>PARTICIPACIONES Ramo 28</v>
      </c>
      <c r="F879" s="36" t="s">
        <v>750</v>
      </c>
      <c r="G879" s="37" t="s">
        <v>461</v>
      </c>
      <c r="H879" s="38">
        <v>211001</v>
      </c>
      <c r="I879" s="41" t="str">
        <f>IF(H879&lt;=0,"",VLOOKUP(H879,[5]COG!A:H,2,0))</f>
        <v>Material de oficina</v>
      </c>
      <c r="J879" s="39">
        <v>34095</v>
      </c>
      <c r="K879" s="39">
        <v>45460</v>
      </c>
      <c r="L879" s="39">
        <v>79555</v>
      </c>
      <c r="M879" s="39">
        <v>68190</v>
      </c>
      <c r="N879" s="1">
        <f>Tabla3[[#This Row],[TRIMESTRE II]]+Tabla3[[#This Row],[TRIMESTRE  I]]+Tabla3[[#This Row],[TRIMESTRE III]]+Tabla3[[#This Row],[TRIMESTRE IV]]</f>
        <v>227300</v>
      </c>
      <c r="O879" s="40" t="s">
        <v>5</v>
      </c>
      <c r="P879" s="105">
        <v>44926</v>
      </c>
      <c r="Q879" s="38" t="s">
        <v>702</v>
      </c>
    </row>
    <row r="880" spans="2:33" s="106" customFormat="1" ht="37.5" customHeight="1" x14ac:dyDescent="0.2">
      <c r="B880" s="34">
        <v>516</v>
      </c>
      <c r="C880" s="35" t="s">
        <v>749</v>
      </c>
      <c r="D880" s="36">
        <v>530</v>
      </c>
      <c r="E880" s="42" t="str">
        <f>IF(D880&lt;=0,"",VLOOKUP(D880,[5]FF!A:D,2,0))</f>
        <v>PARTICIPACIONES Ramo 28</v>
      </c>
      <c r="F880" s="36" t="s">
        <v>751</v>
      </c>
      <c r="G880" s="37" t="s">
        <v>461</v>
      </c>
      <c r="H880" s="38">
        <v>211001</v>
      </c>
      <c r="I880" s="41" t="str">
        <f>IF(H880&lt;=0,"",VLOOKUP(H880,[5]COG!A:H,2,0))</f>
        <v>Material de oficina</v>
      </c>
      <c r="J880" s="39">
        <v>4215</v>
      </c>
      <c r="K880" s="39">
        <v>5620</v>
      </c>
      <c r="L880" s="39">
        <v>9835</v>
      </c>
      <c r="M880" s="39">
        <v>8430</v>
      </c>
      <c r="N880" s="1">
        <f>Tabla3[[#This Row],[TRIMESTRE II]]+Tabla3[[#This Row],[TRIMESTRE  I]]+Tabla3[[#This Row],[TRIMESTRE III]]+Tabla3[[#This Row],[TRIMESTRE IV]]</f>
        <v>28100</v>
      </c>
      <c r="O880" s="40" t="s">
        <v>5</v>
      </c>
      <c r="P880" s="105">
        <v>44926</v>
      </c>
      <c r="Q880" s="38" t="s">
        <v>702</v>
      </c>
    </row>
    <row r="881" spans="2:17" s="106" customFormat="1" ht="37.5" customHeight="1" x14ac:dyDescent="0.2">
      <c r="B881" s="34">
        <v>516</v>
      </c>
      <c r="C881" s="35" t="s">
        <v>749</v>
      </c>
      <c r="D881" s="36">
        <v>530</v>
      </c>
      <c r="E881" s="42" t="str">
        <f>IF(D881&lt;=0,"",VLOOKUP(D881,[5]FF!A:D,2,0))</f>
        <v>PARTICIPACIONES Ramo 28</v>
      </c>
      <c r="F881" s="36" t="s">
        <v>752</v>
      </c>
      <c r="G881" s="37" t="s">
        <v>461</v>
      </c>
      <c r="H881" s="38">
        <v>211001</v>
      </c>
      <c r="I881" s="41" t="str">
        <f>IF(H881&lt;=0,"",VLOOKUP(H881,[5]COG!A:H,2,0))</f>
        <v>Material de oficina</v>
      </c>
      <c r="J881" s="39">
        <v>975</v>
      </c>
      <c r="K881" s="39">
        <v>1300</v>
      </c>
      <c r="L881" s="39">
        <v>2275</v>
      </c>
      <c r="M881" s="39">
        <v>1950</v>
      </c>
      <c r="N881" s="1">
        <f>Tabla3[[#This Row],[TRIMESTRE II]]+Tabla3[[#This Row],[TRIMESTRE  I]]+Tabla3[[#This Row],[TRIMESTRE III]]+Tabla3[[#This Row],[TRIMESTRE IV]]</f>
        <v>6500</v>
      </c>
      <c r="O881" s="40" t="s">
        <v>5</v>
      </c>
      <c r="P881" s="105">
        <v>44926</v>
      </c>
      <c r="Q881" s="38" t="s">
        <v>702</v>
      </c>
    </row>
    <row r="882" spans="2:17" s="106" customFormat="1" ht="37.5" customHeight="1" x14ac:dyDescent="0.2">
      <c r="B882" s="34">
        <v>516</v>
      </c>
      <c r="C882" s="35" t="s">
        <v>749</v>
      </c>
      <c r="D882" s="36">
        <v>530</v>
      </c>
      <c r="E882" s="42" t="str">
        <f>IF(D882&lt;=0,"",VLOOKUP(D882,[5]FF!A:D,2,0))</f>
        <v>PARTICIPACIONES Ramo 28</v>
      </c>
      <c r="F882" s="36" t="s">
        <v>753</v>
      </c>
      <c r="G882" s="37" t="s">
        <v>461</v>
      </c>
      <c r="H882" s="38">
        <v>211001</v>
      </c>
      <c r="I882" s="41" t="str">
        <f>IF(H882&lt;=0,"",VLOOKUP(H882,[5]COG!A:H,2,0))</f>
        <v>Material de oficina</v>
      </c>
      <c r="J882" s="39">
        <v>1083</v>
      </c>
      <c r="K882" s="39">
        <v>1444</v>
      </c>
      <c r="L882" s="39">
        <v>2527</v>
      </c>
      <c r="M882" s="39">
        <v>2166</v>
      </c>
      <c r="N882" s="1">
        <f>Tabla3[[#This Row],[TRIMESTRE II]]+Tabla3[[#This Row],[TRIMESTRE  I]]+Tabla3[[#This Row],[TRIMESTRE III]]+Tabla3[[#This Row],[TRIMESTRE IV]]</f>
        <v>7220</v>
      </c>
      <c r="O882" s="40" t="s">
        <v>5</v>
      </c>
      <c r="P882" s="105">
        <v>44926</v>
      </c>
      <c r="Q882" s="38" t="s">
        <v>702</v>
      </c>
    </row>
    <row r="883" spans="2:17" s="106" customFormat="1" ht="37.5" customHeight="1" x14ac:dyDescent="0.2">
      <c r="B883" s="34">
        <v>516</v>
      </c>
      <c r="C883" s="35" t="s">
        <v>749</v>
      </c>
      <c r="D883" s="36">
        <v>530</v>
      </c>
      <c r="E883" s="42" t="str">
        <f>IF(D883&lt;=0,"",VLOOKUP(D883,[5]FF!A:D,2,0))</f>
        <v>PARTICIPACIONES Ramo 28</v>
      </c>
      <c r="F883" s="36" t="s">
        <v>754</v>
      </c>
      <c r="G883" s="37" t="s">
        <v>461</v>
      </c>
      <c r="H883" s="38">
        <v>211001</v>
      </c>
      <c r="I883" s="41" t="str">
        <f>IF(H883&lt;=0,"",VLOOKUP(H883,[5]COG!A:H,2,0))</f>
        <v>Material de oficina</v>
      </c>
      <c r="J883" s="39">
        <v>1046.25</v>
      </c>
      <c r="K883" s="39">
        <v>1395</v>
      </c>
      <c r="L883" s="39">
        <v>2441.25</v>
      </c>
      <c r="M883" s="39">
        <v>2092.5</v>
      </c>
      <c r="N883" s="1">
        <f>Tabla3[[#This Row],[TRIMESTRE II]]+Tabla3[[#This Row],[TRIMESTRE  I]]+Tabla3[[#This Row],[TRIMESTRE III]]+Tabla3[[#This Row],[TRIMESTRE IV]]</f>
        <v>6975</v>
      </c>
      <c r="O883" s="40" t="s">
        <v>5</v>
      </c>
      <c r="P883" s="105">
        <v>44926</v>
      </c>
      <c r="Q883" s="38" t="s">
        <v>702</v>
      </c>
    </row>
    <row r="884" spans="2:17" s="106" customFormat="1" ht="37.5" customHeight="1" x14ac:dyDescent="0.2">
      <c r="B884" s="34">
        <v>517</v>
      </c>
      <c r="C884" s="35" t="s">
        <v>749</v>
      </c>
      <c r="D884" s="36">
        <v>530</v>
      </c>
      <c r="E884" s="42" t="str">
        <f>IF(D884&lt;=0,"",VLOOKUP(D884,[5]FF!A:D,2,0))</f>
        <v>PARTICIPACIONES Ramo 28</v>
      </c>
      <c r="F884" s="36" t="s">
        <v>755</v>
      </c>
      <c r="G884" s="37" t="s">
        <v>461</v>
      </c>
      <c r="H884" s="38">
        <v>211001</v>
      </c>
      <c r="I884" s="41" t="str">
        <f>IF(H884&lt;=0,"",VLOOKUP(H884,[5]COG!A:H,2,0))</f>
        <v>Material de oficina</v>
      </c>
      <c r="J884" s="39">
        <v>1492.8</v>
      </c>
      <c r="K884" s="39">
        <v>1990.4</v>
      </c>
      <c r="L884" s="39">
        <v>3483.2</v>
      </c>
      <c r="M884" s="39">
        <v>2985.6</v>
      </c>
      <c r="N884" s="1">
        <f>Tabla3[[#This Row],[TRIMESTRE II]]+Tabla3[[#This Row],[TRIMESTRE  I]]+Tabla3[[#This Row],[TRIMESTRE III]]+Tabla3[[#This Row],[TRIMESTRE IV]]</f>
        <v>9952</v>
      </c>
      <c r="O884" s="40" t="s">
        <v>5</v>
      </c>
      <c r="P884" s="105">
        <v>44926</v>
      </c>
      <c r="Q884" s="38" t="s">
        <v>702</v>
      </c>
    </row>
    <row r="885" spans="2:17" s="106" customFormat="1" ht="37.5" customHeight="1" x14ac:dyDescent="0.2">
      <c r="B885" s="34">
        <v>517</v>
      </c>
      <c r="C885" s="35" t="s">
        <v>749</v>
      </c>
      <c r="D885" s="36">
        <v>530</v>
      </c>
      <c r="E885" s="42" t="str">
        <f>IF(D885&lt;=0,"",VLOOKUP(D885,[5]FF!A:D,2,0))</f>
        <v>PARTICIPACIONES Ramo 28</v>
      </c>
      <c r="F885" s="36" t="s">
        <v>756</v>
      </c>
      <c r="G885" s="37" t="s">
        <v>461</v>
      </c>
      <c r="H885" s="38">
        <v>211001</v>
      </c>
      <c r="I885" s="41" t="str">
        <f>IF(H885&lt;=0,"",VLOOKUP(H885,[5]COG!A:H,2,0))</f>
        <v>Material de oficina</v>
      </c>
      <c r="J885" s="39">
        <v>670.8</v>
      </c>
      <c r="K885" s="39">
        <v>894.40000000000009</v>
      </c>
      <c r="L885" s="39">
        <v>1565.1999999999998</v>
      </c>
      <c r="M885" s="39">
        <v>1341.6</v>
      </c>
      <c r="N885" s="1">
        <f>Tabla3[[#This Row],[TRIMESTRE II]]+Tabla3[[#This Row],[TRIMESTRE  I]]+Tabla3[[#This Row],[TRIMESTRE III]]+Tabla3[[#This Row],[TRIMESTRE IV]]</f>
        <v>4472</v>
      </c>
      <c r="O885" s="40" t="s">
        <v>5</v>
      </c>
      <c r="P885" s="105">
        <v>44926</v>
      </c>
      <c r="Q885" s="38" t="s">
        <v>702</v>
      </c>
    </row>
    <row r="886" spans="2:17" s="106" customFormat="1" ht="37.5" customHeight="1" x14ac:dyDescent="0.2">
      <c r="B886" s="34">
        <v>517</v>
      </c>
      <c r="C886" s="35" t="s">
        <v>749</v>
      </c>
      <c r="D886" s="36">
        <v>530</v>
      </c>
      <c r="E886" s="42" t="str">
        <f>IF(D886&lt;=0,"",VLOOKUP(D886,[5]FF!A:D,2,0))</f>
        <v>PARTICIPACIONES Ramo 28</v>
      </c>
      <c r="F886" s="36" t="s">
        <v>757</v>
      </c>
      <c r="G886" s="37" t="s">
        <v>461</v>
      </c>
      <c r="H886" s="38">
        <v>211001</v>
      </c>
      <c r="I886" s="41" t="str">
        <f>IF(H886&lt;=0,"",VLOOKUP(H886,[5]COG!A:H,2,0))</f>
        <v>Material de oficina</v>
      </c>
      <c r="J886" s="39">
        <v>953.69999999999993</v>
      </c>
      <c r="K886" s="39">
        <v>1271.6000000000001</v>
      </c>
      <c r="L886" s="39">
        <v>2225.2999999999997</v>
      </c>
      <c r="M886" s="39">
        <v>1907.3999999999999</v>
      </c>
      <c r="N886" s="1">
        <f>Tabla3[[#This Row],[TRIMESTRE II]]+Tabla3[[#This Row],[TRIMESTRE  I]]+Tabla3[[#This Row],[TRIMESTRE III]]+Tabla3[[#This Row],[TRIMESTRE IV]]</f>
        <v>6358</v>
      </c>
      <c r="O886" s="40" t="s">
        <v>5</v>
      </c>
      <c r="P886" s="105">
        <v>44926</v>
      </c>
      <c r="Q886" s="38" t="s">
        <v>702</v>
      </c>
    </row>
    <row r="887" spans="2:17" s="106" customFormat="1" ht="37.5" customHeight="1" x14ac:dyDescent="0.2">
      <c r="B887" s="34">
        <v>517</v>
      </c>
      <c r="C887" s="35" t="s">
        <v>749</v>
      </c>
      <c r="D887" s="36">
        <v>530</v>
      </c>
      <c r="E887" s="42" t="str">
        <f>IF(D887&lt;=0,"",VLOOKUP(D887,[5]FF!A:D,2,0))</f>
        <v>PARTICIPACIONES Ramo 28</v>
      </c>
      <c r="F887" s="36" t="s">
        <v>758</v>
      </c>
      <c r="G887" s="37" t="s">
        <v>461</v>
      </c>
      <c r="H887" s="38">
        <v>211001</v>
      </c>
      <c r="I887" s="41" t="str">
        <f>IF(H887&lt;=0,"",VLOOKUP(H887,[5]COG!A:H,2,0))</f>
        <v>Material de oficina</v>
      </c>
      <c r="J887" s="39">
        <v>301.5</v>
      </c>
      <c r="K887" s="39">
        <v>402</v>
      </c>
      <c r="L887" s="39">
        <v>703.5</v>
      </c>
      <c r="M887" s="39">
        <v>603</v>
      </c>
      <c r="N887" s="1">
        <f>Tabla3[[#This Row],[TRIMESTRE II]]+Tabla3[[#This Row],[TRIMESTRE  I]]+Tabla3[[#This Row],[TRIMESTRE III]]+Tabla3[[#This Row],[TRIMESTRE IV]]</f>
        <v>2010</v>
      </c>
      <c r="O887" s="40" t="s">
        <v>5</v>
      </c>
      <c r="P887" s="105">
        <v>44926</v>
      </c>
      <c r="Q887" s="38" t="s">
        <v>702</v>
      </c>
    </row>
    <row r="888" spans="2:17" s="106" customFormat="1" ht="37.5" customHeight="1" x14ac:dyDescent="0.2">
      <c r="B888" s="34">
        <v>517</v>
      </c>
      <c r="C888" s="35" t="s">
        <v>749</v>
      </c>
      <c r="D888" s="36">
        <v>530</v>
      </c>
      <c r="E888" s="42" t="str">
        <f>IF(D888&lt;=0,"",VLOOKUP(D888,[5]FF!A:D,2,0))</f>
        <v>PARTICIPACIONES Ramo 28</v>
      </c>
      <c r="F888" s="36" t="s">
        <v>759</v>
      </c>
      <c r="G888" s="37" t="s">
        <v>461</v>
      </c>
      <c r="H888" s="38">
        <v>211001</v>
      </c>
      <c r="I888" s="41" t="str">
        <f>IF(H888&lt;=0,"",VLOOKUP(H888,[5]COG!A:H,2,0))</f>
        <v>Material de oficina</v>
      </c>
      <c r="J888" s="39">
        <v>2253</v>
      </c>
      <c r="K888" s="39">
        <v>3004</v>
      </c>
      <c r="L888" s="39">
        <v>5257</v>
      </c>
      <c r="M888" s="39">
        <v>4506</v>
      </c>
      <c r="N888" s="1">
        <f>Tabla3[[#This Row],[TRIMESTRE II]]+Tabla3[[#This Row],[TRIMESTRE  I]]+Tabla3[[#This Row],[TRIMESTRE III]]+Tabla3[[#This Row],[TRIMESTRE IV]]</f>
        <v>15020</v>
      </c>
      <c r="O888" s="40" t="s">
        <v>5</v>
      </c>
      <c r="P888" s="105">
        <v>44926</v>
      </c>
      <c r="Q888" s="38" t="s">
        <v>702</v>
      </c>
    </row>
    <row r="889" spans="2:17" s="106" customFormat="1" ht="37.5" customHeight="1" x14ac:dyDescent="0.2">
      <c r="B889" s="34">
        <v>517</v>
      </c>
      <c r="C889" s="35" t="s">
        <v>749</v>
      </c>
      <c r="D889" s="36">
        <v>530</v>
      </c>
      <c r="E889" s="42" t="str">
        <f>IF(D889&lt;=0,"",VLOOKUP(D889,[5]FF!A:D,2,0))</f>
        <v>PARTICIPACIONES Ramo 28</v>
      </c>
      <c r="F889" s="36" t="s">
        <v>760</v>
      </c>
      <c r="G889" s="37" t="s">
        <v>461</v>
      </c>
      <c r="H889" s="38">
        <v>211001</v>
      </c>
      <c r="I889" s="41" t="str">
        <f>IF(H889&lt;=0,"",VLOOKUP(H889,[5]COG!A:H,2,0))</f>
        <v>Material de oficina</v>
      </c>
      <c r="J889" s="39">
        <v>8670</v>
      </c>
      <c r="K889" s="39">
        <v>11560</v>
      </c>
      <c r="L889" s="39">
        <v>20230</v>
      </c>
      <c r="M889" s="39">
        <v>17340</v>
      </c>
      <c r="N889" s="1">
        <f>Tabla3[[#This Row],[TRIMESTRE II]]+Tabla3[[#This Row],[TRIMESTRE  I]]+Tabla3[[#This Row],[TRIMESTRE III]]+Tabla3[[#This Row],[TRIMESTRE IV]]</f>
        <v>57800</v>
      </c>
      <c r="O889" s="40" t="s">
        <v>5</v>
      </c>
      <c r="P889" s="105">
        <v>44926</v>
      </c>
      <c r="Q889" s="38" t="s">
        <v>702</v>
      </c>
    </row>
    <row r="890" spans="2:17" s="106" customFormat="1" ht="37.5" customHeight="1" x14ac:dyDescent="0.2">
      <c r="B890" s="34">
        <v>518</v>
      </c>
      <c r="C890" s="35" t="s">
        <v>749</v>
      </c>
      <c r="D890" s="36">
        <v>530</v>
      </c>
      <c r="E890" s="42" t="str">
        <f>IF(D890&lt;=0,"",VLOOKUP(D890,[5]FF!A:D,2,0))</f>
        <v>PARTICIPACIONES Ramo 28</v>
      </c>
      <c r="F890" s="36" t="s">
        <v>761</v>
      </c>
      <c r="G890" s="37" t="s">
        <v>461</v>
      </c>
      <c r="H890" s="38">
        <v>211001</v>
      </c>
      <c r="I890" s="41" t="str">
        <f>IF(H890&lt;=0,"",VLOOKUP(H890,[5]COG!A:H,2,0))</f>
        <v>Material de oficina</v>
      </c>
      <c r="J890" s="39">
        <v>1380</v>
      </c>
      <c r="K890" s="39">
        <v>1840</v>
      </c>
      <c r="L890" s="39">
        <v>3220</v>
      </c>
      <c r="M890" s="39">
        <v>2760</v>
      </c>
      <c r="N890" s="1">
        <f>Tabla3[[#This Row],[TRIMESTRE II]]+Tabla3[[#This Row],[TRIMESTRE  I]]+Tabla3[[#This Row],[TRIMESTRE III]]+Tabla3[[#This Row],[TRIMESTRE IV]]</f>
        <v>9200</v>
      </c>
      <c r="O890" s="40" t="s">
        <v>5</v>
      </c>
      <c r="P890" s="105">
        <v>44926</v>
      </c>
      <c r="Q890" s="38" t="s">
        <v>702</v>
      </c>
    </row>
    <row r="891" spans="2:17" s="106" customFormat="1" ht="37.5" customHeight="1" x14ac:dyDescent="0.2">
      <c r="B891" s="34">
        <v>518</v>
      </c>
      <c r="C891" s="35" t="s">
        <v>749</v>
      </c>
      <c r="D891" s="36">
        <v>530</v>
      </c>
      <c r="E891" s="42" t="str">
        <f>IF(D891&lt;=0,"",VLOOKUP(D891,[5]FF!A:D,2,0))</f>
        <v>PARTICIPACIONES Ramo 28</v>
      </c>
      <c r="F891" s="36" t="s">
        <v>762</v>
      </c>
      <c r="G891" s="37" t="s">
        <v>461</v>
      </c>
      <c r="H891" s="38">
        <v>211001</v>
      </c>
      <c r="I891" s="41" t="str">
        <f>IF(H891&lt;=0,"",VLOOKUP(H891,[5]COG!A:H,2,0))</f>
        <v>Material de oficina</v>
      </c>
      <c r="J891" s="39">
        <v>434.84999999999997</v>
      </c>
      <c r="K891" s="39">
        <v>579.80000000000007</v>
      </c>
      <c r="L891" s="39">
        <v>1014.65</v>
      </c>
      <c r="M891" s="39">
        <v>869.69999999999993</v>
      </c>
      <c r="N891" s="1">
        <f>Tabla3[[#This Row],[TRIMESTRE II]]+Tabla3[[#This Row],[TRIMESTRE  I]]+Tabla3[[#This Row],[TRIMESTRE III]]+Tabla3[[#This Row],[TRIMESTRE IV]]</f>
        <v>2899</v>
      </c>
      <c r="O891" s="40" t="s">
        <v>5</v>
      </c>
      <c r="P891" s="105">
        <v>44926</v>
      </c>
      <c r="Q891" s="38" t="s">
        <v>702</v>
      </c>
    </row>
    <row r="892" spans="2:17" s="106" customFormat="1" ht="37.5" customHeight="1" x14ac:dyDescent="0.2">
      <c r="B892" s="34">
        <v>518</v>
      </c>
      <c r="C892" s="35" t="s">
        <v>749</v>
      </c>
      <c r="D892" s="36">
        <v>530</v>
      </c>
      <c r="E892" s="42" t="str">
        <f>IF(D892&lt;=0,"",VLOOKUP(D892,[5]FF!A:D,2,0))</f>
        <v>PARTICIPACIONES Ramo 28</v>
      </c>
      <c r="F892" s="36" t="s">
        <v>763</v>
      </c>
      <c r="G892" s="37" t="s">
        <v>461</v>
      </c>
      <c r="H892" s="38">
        <v>211001</v>
      </c>
      <c r="I892" s="41" t="str">
        <f>IF(H892&lt;=0,"",VLOOKUP(H892,[5]COG!A:H,2,0))</f>
        <v>Material de oficina</v>
      </c>
      <c r="J892" s="39">
        <v>372.59999999999997</v>
      </c>
      <c r="K892" s="39">
        <v>496.8</v>
      </c>
      <c r="L892" s="39">
        <v>869.4</v>
      </c>
      <c r="M892" s="39">
        <v>745.19999999999993</v>
      </c>
      <c r="N892" s="1">
        <f>Tabla3[[#This Row],[TRIMESTRE II]]+Tabla3[[#This Row],[TRIMESTRE  I]]+Tabla3[[#This Row],[TRIMESTRE III]]+Tabla3[[#This Row],[TRIMESTRE IV]]</f>
        <v>2484</v>
      </c>
      <c r="O892" s="40" t="s">
        <v>5</v>
      </c>
      <c r="P892" s="105">
        <v>44926</v>
      </c>
      <c r="Q892" s="38" t="s">
        <v>702</v>
      </c>
    </row>
    <row r="893" spans="2:17" s="106" customFormat="1" ht="37.5" customHeight="1" x14ac:dyDescent="0.2">
      <c r="B893" s="34">
        <v>518</v>
      </c>
      <c r="C893" s="35" t="s">
        <v>749</v>
      </c>
      <c r="D893" s="36">
        <v>530</v>
      </c>
      <c r="E893" s="42" t="str">
        <f>IF(D893&lt;=0,"",VLOOKUP(D893,[5]FF!A:D,2,0))</f>
        <v>PARTICIPACIONES Ramo 28</v>
      </c>
      <c r="F893" s="36" t="s">
        <v>764</v>
      </c>
      <c r="G893" s="37" t="s">
        <v>461</v>
      </c>
      <c r="H893" s="38">
        <v>211001</v>
      </c>
      <c r="I893" s="41" t="str">
        <f>IF(H893&lt;=0,"",VLOOKUP(H893,[5]COG!A:H,2,0))</f>
        <v>Material de oficina</v>
      </c>
      <c r="J893" s="39">
        <v>324</v>
      </c>
      <c r="K893" s="39">
        <v>432</v>
      </c>
      <c r="L893" s="39">
        <v>756</v>
      </c>
      <c r="M893" s="39">
        <v>648</v>
      </c>
      <c r="N893" s="1">
        <f>Tabla3[[#This Row],[TRIMESTRE II]]+Tabla3[[#This Row],[TRIMESTRE  I]]+Tabla3[[#This Row],[TRIMESTRE III]]+Tabla3[[#This Row],[TRIMESTRE IV]]</f>
        <v>2160</v>
      </c>
      <c r="O893" s="40" t="s">
        <v>5</v>
      </c>
      <c r="P893" s="105">
        <v>44926</v>
      </c>
      <c r="Q893" s="38" t="s">
        <v>702</v>
      </c>
    </row>
    <row r="894" spans="2:17" s="106" customFormat="1" ht="37.5" customHeight="1" x14ac:dyDescent="0.2">
      <c r="B894" s="34">
        <v>519</v>
      </c>
      <c r="C894" s="35" t="s">
        <v>749</v>
      </c>
      <c r="D894" s="36">
        <v>530</v>
      </c>
      <c r="E894" s="42" t="str">
        <f>IF(D894&lt;=0,"",VLOOKUP(D894,[5]FF!A:D,2,0))</f>
        <v>PARTICIPACIONES Ramo 28</v>
      </c>
      <c r="F894" s="36" t="s">
        <v>765</v>
      </c>
      <c r="G894" s="37" t="s">
        <v>461</v>
      </c>
      <c r="H894" s="38">
        <v>211001</v>
      </c>
      <c r="I894" s="41" t="str">
        <f>IF(H894&lt;=0,"",VLOOKUP(H894,[5]COG!A:H,2,0))</f>
        <v>Material de oficina</v>
      </c>
      <c r="J894" s="39">
        <v>1102.8</v>
      </c>
      <c r="K894" s="39">
        <v>1470.4</v>
      </c>
      <c r="L894" s="39">
        <v>2573.1999999999998</v>
      </c>
      <c r="M894" s="39">
        <v>2205.6</v>
      </c>
      <c r="N894" s="1">
        <f>Tabla3[[#This Row],[TRIMESTRE II]]+Tabla3[[#This Row],[TRIMESTRE  I]]+Tabla3[[#This Row],[TRIMESTRE III]]+Tabla3[[#This Row],[TRIMESTRE IV]]</f>
        <v>7352</v>
      </c>
      <c r="O894" s="40" t="s">
        <v>5</v>
      </c>
      <c r="P894" s="105">
        <v>44926</v>
      </c>
      <c r="Q894" s="38" t="s">
        <v>702</v>
      </c>
    </row>
    <row r="895" spans="2:17" s="106" customFormat="1" ht="37.5" customHeight="1" x14ac:dyDescent="0.2">
      <c r="B895" s="34">
        <v>520</v>
      </c>
      <c r="C895" s="35" t="s">
        <v>749</v>
      </c>
      <c r="D895" s="36">
        <v>530</v>
      </c>
      <c r="E895" s="42" t="str">
        <f>IF(D895&lt;=0,"",VLOOKUP(D895,[5]FF!A:D,2,0))</f>
        <v>PARTICIPACIONES Ramo 28</v>
      </c>
      <c r="F895" s="36" t="s">
        <v>766</v>
      </c>
      <c r="G895" s="37" t="s">
        <v>461</v>
      </c>
      <c r="H895" s="38">
        <v>211001</v>
      </c>
      <c r="I895" s="41" t="str">
        <f>IF(H895&lt;=0,"",VLOOKUP(H895,[5]COG!A:H,2,0))</f>
        <v>Material de oficina</v>
      </c>
      <c r="J895" s="39">
        <v>331.8</v>
      </c>
      <c r="K895" s="39">
        <v>442.40000000000003</v>
      </c>
      <c r="L895" s="39">
        <v>774.19999999999993</v>
      </c>
      <c r="M895" s="39">
        <v>663.6</v>
      </c>
      <c r="N895" s="1">
        <f>Tabla3[[#This Row],[TRIMESTRE II]]+Tabla3[[#This Row],[TRIMESTRE  I]]+Tabla3[[#This Row],[TRIMESTRE III]]+Tabla3[[#This Row],[TRIMESTRE IV]]</f>
        <v>2212</v>
      </c>
      <c r="O895" s="40" t="s">
        <v>5</v>
      </c>
      <c r="P895" s="105">
        <v>44926</v>
      </c>
      <c r="Q895" s="38" t="s">
        <v>702</v>
      </c>
    </row>
    <row r="896" spans="2:17" s="106" customFormat="1" ht="37.5" customHeight="1" x14ac:dyDescent="0.2">
      <c r="B896" s="34">
        <v>516</v>
      </c>
      <c r="C896" s="35" t="s">
        <v>749</v>
      </c>
      <c r="D896" s="36">
        <v>530</v>
      </c>
      <c r="E896" s="42" t="str">
        <f>IF(D896&lt;=0,"",VLOOKUP(D896,[5]FF!A:D,2,0))</f>
        <v>PARTICIPACIONES Ramo 28</v>
      </c>
      <c r="F896" s="36" t="s">
        <v>750</v>
      </c>
      <c r="G896" s="37" t="s">
        <v>461</v>
      </c>
      <c r="H896" s="38">
        <v>216001</v>
      </c>
      <c r="I896" s="41" t="str">
        <f>IF(H896&lt;=0,"",VLOOKUP(H896,[5]COG!A:H,2,0))</f>
        <v>Material de limpieza</v>
      </c>
      <c r="J896" s="39">
        <v>41621.549999999996</v>
      </c>
      <c r="K896" s="39">
        <v>55495.4</v>
      </c>
      <c r="L896" s="39">
        <v>97116.95</v>
      </c>
      <c r="M896" s="39">
        <v>83243.099999999991</v>
      </c>
      <c r="N896" s="1">
        <f>Tabla3[[#This Row],[TRIMESTRE II]]+Tabla3[[#This Row],[TRIMESTRE  I]]+Tabla3[[#This Row],[TRIMESTRE III]]+Tabla3[[#This Row],[TRIMESTRE IV]]</f>
        <v>277477</v>
      </c>
      <c r="O896" s="40" t="s">
        <v>5</v>
      </c>
      <c r="P896" s="105">
        <v>44926</v>
      </c>
      <c r="Q896" s="38" t="s">
        <v>702</v>
      </c>
    </row>
    <row r="897" spans="2:17" s="106" customFormat="1" ht="37.5" customHeight="1" x14ac:dyDescent="0.2">
      <c r="B897" s="34">
        <v>516</v>
      </c>
      <c r="C897" s="35" t="s">
        <v>749</v>
      </c>
      <c r="D897" s="36">
        <v>530</v>
      </c>
      <c r="E897" s="42" t="str">
        <f>IF(D897&lt;=0,"",VLOOKUP(D897,[5]FF!A:D,2,0))</f>
        <v>PARTICIPACIONES Ramo 28</v>
      </c>
      <c r="F897" s="36" t="s">
        <v>751</v>
      </c>
      <c r="G897" s="37" t="s">
        <v>461</v>
      </c>
      <c r="H897" s="38">
        <v>216001</v>
      </c>
      <c r="I897" s="41" t="str">
        <f>IF(H897&lt;=0,"",VLOOKUP(H897,[5]COG!A:H,2,0))</f>
        <v>Material de limpieza</v>
      </c>
      <c r="J897" s="39">
        <v>2775</v>
      </c>
      <c r="K897" s="39">
        <v>3700</v>
      </c>
      <c r="L897" s="39">
        <v>6475</v>
      </c>
      <c r="M897" s="39">
        <v>5550</v>
      </c>
      <c r="N897" s="1">
        <f>Tabla3[[#This Row],[TRIMESTRE II]]+Tabla3[[#This Row],[TRIMESTRE  I]]+Tabla3[[#This Row],[TRIMESTRE III]]+Tabla3[[#This Row],[TRIMESTRE IV]]</f>
        <v>18500</v>
      </c>
      <c r="O897" s="40" t="s">
        <v>5</v>
      </c>
      <c r="P897" s="105">
        <v>44926</v>
      </c>
      <c r="Q897" s="38" t="s">
        <v>702</v>
      </c>
    </row>
    <row r="898" spans="2:17" s="106" customFormat="1" ht="37.5" customHeight="1" x14ac:dyDescent="0.2">
      <c r="B898" s="34">
        <v>516</v>
      </c>
      <c r="C898" s="35" t="s">
        <v>749</v>
      </c>
      <c r="D898" s="36">
        <v>530</v>
      </c>
      <c r="E898" s="42" t="str">
        <f>IF(D898&lt;=0,"",VLOOKUP(D898,[5]FF!A:D,2,0))</f>
        <v>PARTICIPACIONES Ramo 28</v>
      </c>
      <c r="F898" s="36" t="s">
        <v>752</v>
      </c>
      <c r="G898" s="37" t="s">
        <v>461</v>
      </c>
      <c r="H898" s="38">
        <v>216001</v>
      </c>
      <c r="I898" s="41" t="str">
        <f>IF(H898&lt;=0,"",VLOOKUP(H898,[5]COG!A:H,2,0))</f>
        <v>Material de limpieza</v>
      </c>
      <c r="J898" s="39">
        <v>390</v>
      </c>
      <c r="K898" s="39">
        <v>520</v>
      </c>
      <c r="L898" s="39">
        <v>909.99999999999989</v>
      </c>
      <c r="M898" s="39">
        <v>780</v>
      </c>
      <c r="N898" s="1">
        <f>Tabla3[[#This Row],[TRIMESTRE II]]+Tabla3[[#This Row],[TRIMESTRE  I]]+Tabla3[[#This Row],[TRIMESTRE III]]+Tabla3[[#This Row],[TRIMESTRE IV]]</f>
        <v>2600</v>
      </c>
      <c r="O898" s="40" t="s">
        <v>5</v>
      </c>
      <c r="P898" s="105">
        <v>44926</v>
      </c>
      <c r="Q898" s="38" t="s">
        <v>702</v>
      </c>
    </row>
    <row r="899" spans="2:17" s="106" customFormat="1" ht="37.5" customHeight="1" x14ac:dyDescent="0.2">
      <c r="B899" s="34">
        <v>516</v>
      </c>
      <c r="C899" s="35" t="s">
        <v>749</v>
      </c>
      <c r="D899" s="36">
        <v>530</v>
      </c>
      <c r="E899" s="42" t="str">
        <f>IF(D899&lt;=0,"",VLOOKUP(D899,[5]FF!A:D,2,0))</f>
        <v>PARTICIPACIONES Ramo 28</v>
      </c>
      <c r="F899" s="36" t="s">
        <v>753</v>
      </c>
      <c r="G899" s="37" t="s">
        <v>461</v>
      </c>
      <c r="H899" s="38">
        <v>216001</v>
      </c>
      <c r="I899" s="41" t="str">
        <f>IF(H899&lt;=0,"",VLOOKUP(H899,[5]COG!A:H,2,0))</f>
        <v>Material de limpieza</v>
      </c>
      <c r="J899" s="39">
        <v>4066.7999999999997</v>
      </c>
      <c r="K899" s="39">
        <v>5422.4000000000005</v>
      </c>
      <c r="L899" s="39">
        <v>9489.1999999999989</v>
      </c>
      <c r="M899" s="39">
        <v>8133.5999999999995</v>
      </c>
      <c r="N899" s="1">
        <f>Tabla3[[#This Row],[TRIMESTRE II]]+Tabla3[[#This Row],[TRIMESTRE  I]]+Tabla3[[#This Row],[TRIMESTRE III]]+Tabla3[[#This Row],[TRIMESTRE IV]]</f>
        <v>27112</v>
      </c>
      <c r="O899" s="40" t="s">
        <v>5</v>
      </c>
      <c r="P899" s="105">
        <v>44926</v>
      </c>
      <c r="Q899" s="38" t="s">
        <v>702</v>
      </c>
    </row>
    <row r="900" spans="2:17" s="106" customFormat="1" ht="37.5" customHeight="1" x14ac:dyDescent="0.2">
      <c r="B900" s="34">
        <v>516</v>
      </c>
      <c r="C900" s="35" t="s">
        <v>749</v>
      </c>
      <c r="D900" s="36">
        <v>530</v>
      </c>
      <c r="E900" s="42" t="str">
        <f>IF(D900&lt;=0,"",VLOOKUP(D900,[5]FF!A:D,2,0))</f>
        <v>PARTICIPACIONES Ramo 28</v>
      </c>
      <c r="F900" s="36" t="s">
        <v>754</v>
      </c>
      <c r="G900" s="37" t="s">
        <v>461</v>
      </c>
      <c r="H900" s="38">
        <v>216001</v>
      </c>
      <c r="I900" s="41" t="str">
        <f>IF(H900&lt;=0,"",VLOOKUP(H900,[5]COG!A:H,2,0))</f>
        <v>Material de limpieza</v>
      </c>
      <c r="J900" s="39">
        <v>520.65</v>
      </c>
      <c r="K900" s="39">
        <v>694.2</v>
      </c>
      <c r="L900" s="39">
        <v>1214.8499999999999</v>
      </c>
      <c r="M900" s="39">
        <v>1041.3</v>
      </c>
      <c r="N900" s="1">
        <f>Tabla3[[#This Row],[TRIMESTRE II]]+Tabla3[[#This Row],[TRIMESTRE  I]]+Tabla3[[#This Row],[TRIMESTRE III]]+Tabla3[[#This Row],[TRIMESTRE IV]]</f>
        <v>3471</v>
      </c>
      <c r="O900" s="40" t="s">
        <v>5</v>
      </c>
      <c r="P900" s="105">
        <v>44926</v>
      </c>
      <c r="Q900" s="38" t="s">
        <v>702</v>
      </c>
    </row>
    <row r="901" spans="2:17" s="106" customFormat="1" ht="37.5" customHeight="1" x14ac:dyDescent="0.2">
      <c r="B901" s="34">
        <v>517</v>
      </c>
      <c r="C901" s="35" t="s">
        <v>749</v>
      </c>
      <c r="D901" s="36">
        <v>530</v>
      </c>
      <c r="E901" s="42" t="str">
        <f>IF(D901&lt;=0,"",VLOOKUP(D901,[5]FF!A:D,2,0))</f>
        <v>PARTICIPACIONES Ramo 28</v>
      </c>
      <c r="F901" s="36" t="s">
        <v>755</v>
      </c>
      <c r="G901" s="37" t="s">
        <v>461</v>
      </c>
      <c r="H901" s="38">
        <v>216001</v>
      </c>
      <c r="I901" s="41" t="str">
        <f>IF(H901&lt;=0,"",VLOOKUP(H901,[5]COG!A:H,2,0))</f>
        <v>Material de limpieza</v>
      </c>
      <c r="J901" s="39">
        <v>746.25</v>
      </c>
      <c r="K901" s="39">
        <v>995</v>
      </c>
      <c r="L901" s="39">
        <v>1741.25</v>
      </c>
      <c r="M901" s="39">
        <v>1492.5</v>
      </c>
      <c r="N901" s="1">
        <f>Tabla3[[#This Row],[TRIMESTRE II]]+Tabla3[[#This Row],[TRIMESTRE  I]]+Tabla3[[#This Row],[TRIMESTRE III]]+Tabla3[[#This Row],[TRIMESTRE IV]]</f>
        <v>4975</v>
      </c>
      <c r="O901" s="40" t="s">
        <v>5</v>
      </c>
      <c r="P901" s="105">
        <v>44926</v>
      </c>
      <c r="Q901" s="38" t="s">
        <v>702</v>
      </c>
    </row>
    <row r="902" spans="2:17" s="106" customFormat="1" ht="37.5" customHeight="1" x14ac:dyDescent="0.2">
      <c r="B902" s="34">
        <v>517</v>
      </c>
      <c r="C902" s="35" t="s">
        <v>749</v>
      </c>
      <c r="D902" s="36">
        <v>530</v>
      </c>
      <c r="E902" s="42" t="str">
        <f>IF(D902&lt;=0,"",VLOOKUP(D902,[5]FF!A:D,2,0))</f>
        <v>PARTICIPACIONES Ramo 28</v>
      </c>
      <c r="F902" s="36" t="s">
        <v>757</v>
      </c>
      <c r="G902" s="37" t="s">
        <v>461</v>
      </c>
      <c r="H902" s="38">
        <v>216001</v>
      </c>
      <c r="I902" s="41" t="str">
        <f>IF(H902&lt;=0,"",VLOOKUP(H902,[5]COG!A:H,2,0))</f>
        <v>Material de limpieza</v>
      </c>
      <c r="J902" s="39">
        <v>447.3</v>
      </c>
      <c r="K902" s="39">
        <v>596.4</v>
      </c>
      <c r="L902" s="39">
        <v>1043.7</v>
      </c>
      <c r="M902" s="39">
        <v>894.6</v>
      </c>
      <c r="N902" s="1">
        <f>Tabla3[[#This Row],[TRIMESTRE II]]+Tabla3[[#This Row],[TRIMESTRE  I]]+Tabla3[[#This Row],[TRIMESTRE III]]+Tabla3[[#This Row],[TRIMESTRE IV]]</f>
        <v>2982</v>
      </c>
      <c r="O902" s="40" t="s">
        <v>5</v>
      </c>
      <c r="P902" s="105">
        <v>44926</v>
      </c>
      <c r="Q902" s="38" t="s">
        <v>702</v>
      </c>
    </row>
    <row r="903" spans="2:17" s="106" customFormat="1" ht="37.5" customHeight="1" x14ac:dyDescent="0.2">
      <c r="B903" s="34">
        <v>517</v>
      </c>
      <c r="C903" s="35" t="s">
        <v>749</v>
      </c>
      <c r="D903" s="36">
        <v>530</v>
      </c>
      <c r="E903" s="42" t="str">
        <f>IF(D903&lt;=0,"",VLOOKUP(D903,[5]FF!A:D,2,0))</f>
        <v>PARTICIPACIONES Ramo 28</v>
      </c>
      <c r="F903" s="36" t="s">
        <v>759</v>
      </c>
      <c r="G903" s="37" t="s">
        <v>461</v>
      </c>
      <c r="H903" s="38">
        <v>216001</v>
      </c>
      <c r="I903" s="41" t="str">
        <f>IF(H903&lt;=0,"",VLOOKUP(H903,[5]COG!A:H,2,0))</f>
        <v>Material de limpieza</v>
      </c>
      <c r="J903" s="39">
        <v>1118.3999999999999</v>
      </c>
      <c r="K903" s="39">
        <v>1491.2</v>
      </c>
      <c r="L903" s="39">
        <v>2609.6</v>
      </c>
      <c r="M903" s="39">
        <v>2236.7999999999997</v>
      </c>
      <c r="N903" s="1">
        <f>Tabla3[[#This Row],[TRIMESTRE II]]+Tabla3[[#This Row],[TRIMESTRE  I]]+Tabla3[[#This Row],[TRIMESTRE III]]+Tabla3[[#This Row],[TRIMESTRE IV]]</f>
        <v>7456</v>
      </c>
      <c r="O903" s="40" t="s">
        <v>5</v>
      </c>
      <c r="P903" s="105">
        <v>45291</v>
      </c>
      <c r="Q903" s="38" t="s">
        <v>702</v>
      </c>
    </row>
    <row r="904" spans="2:17" s="106" customFormat="1" ht="37.5" customHeight="1" x14ac:dyDescent="0.2">
      <c r="B904" s="34">
        <v>517</v>
      </c>
      <c r="C904" s="35" t="s">
        <v>749</v>
      </c>
      <c r="D904" s="36">
        <v>530</v>
      </c>
      <c r="E904" s="42" t="str">
        <f>IF(D904&lt;=0,"",VLOOKUP(D904,[5]FF!A:D,2,0))</f>
        <v>PARTICIPACIONES Ramo 28</v>
      </c>
      <c r="F904" s="36" t="s">
        <v>760</v>
      </c>
      <c r="G904" s="37" t="s">
        <v>461</v>
      </c>
      <c r="H904" s="38">
        <v>216001</v>
      </c>
      <c r="I904" s="41" t="str">
        <f>IF(H904&lt;=0,"",VLOOKUP(H904,[5]COG!A:H,2,0))</f>
        <v>Material de limpieza</v>
      </c>
      <c r="J904" s="39">
        <v>7950</v>
      </c>
      <c r="K904" s="39">
        <v>10600</v>
      </c>
      <c r="L904" s="39">
        <v>18550</v>
      </c>
      <c r="M904" s="39">
        <v>15900</v>
      </c>
      <c r="N904" s="1">
        <f>Tabla3[[#This Row],[TRIMESTRE II]]+Tabla3[[#This Row],[TRIMESTRE  I]]+Tabla3[[#This Row],[TRIMESTRE III]]+Tabla3[[#This Row],[TRIMESTRE IV]]</f>
        <v>53000</v>
      </c>
      <c r="O904" s="40" t="s">
        <v>5</v>
      </c>
      <c r="P904" s="105">
        <v>45291</v>
      </c>
      <c r="Q904" s="38" t="s">
        <v>702</v>
      </c>
    </row>
    <row r="905" spans="2:17" s="106" customFormat="1" ht="37.5" customHeight="1" x14ac:dyDescent="0.2">
      <c r="B905" s="34">
        <v>518</v>
      </c>
      <c r="C905" s="35" t="s">
        <v>749</v>
      </c>
      <c r="D905" s="36">
        <v>530</v>
      </c>
      <c r="E905" s="42" t="str">
        <f>IF(D905&lt;=0,"",VLOOKUP(D905,[5]FF!A:D,2,0))</f>
        <v>PARTICIPACIONES Ramo 28</v>
      </c>
      <c r="F905" s="36" t="s">
        <v>761</v>
      </c>
      <c r="G905" s="37" t="s">
        <v>461</v>
      </c>
      <c r="H905" s="38">
        <v>216001</v>
      </c>
      <c r="I905" s="41" t="str">
        <f>IF(H905&lt;=0,"",VLOOKUP(H905,[5]COG!A:H,2,0))</f>
        <v>Material de limpieza</v>
      </c>
      <c r="J905" s="39">
        <v>2088</v>
      </c>
      <c r="K905" s="39">
        <v>2784</v>
      </c>
      <c r="L905" s="39">
        <v>4872</v>
      </c>
      <c r="M905" s="39">
        <v>4176</v>
      </c>
      <c r="N905" s="1">
        <f>Tabla3[[#This Row],[TRIMESTRE II]]+Tabla3[[#This Row],[TRIMESTRE  I]]+Tabla3[[#This Row],[TRIMESTRE III]]+Tabla3[[#This Row],[TRIMESTRE IV]]</f>
        <v>13920</v>
      </c>
      <c r="O905" s="40" t="s">
        <v>5</v>
      </c>
      <c r="P905" s="105">
        <v>45291</v>
      </c>
      <c r="Q905" s="38" t="s">
        <v>702</v>
      </c>
    </row>
    <row r="906" spans="2:17" s="106" customFormat="1" ht="37.5" customHeight="1" x14ac:dyDescent="0.2">
      <c r="B906" s="34">
        <v>518</v>
      </c>
      <c r="C906" s="35" t="s">
        <v>749</v>
      </c>
      <c r="D906" s="36">
        <v>530</v>
      </c>
      <c r="E906" s="42" t="str">
        <f>IF(D906&lt;=0,"",VLOOKUP(D906,[5]FF!A:D,2,0))</f>
        <v>PARTICIPACIONES Ramo 28</v>
      </c>
      <c r="F906" s="36" t="s">
        <v>762</v>
      </c>
      <c r="G906" s="37" t="s">
        <v>461</v>
      </c>
      <c r="H906" s="38">
        <v>216001</v>
      </c>
      <c r="I906" s="41" t="str">
        <f>IF(H906&lt;=0,"",VLOOKUP(H906,[5]COG!A:H,2,0))</f>
        <v>Material de limpieza</v>
      </c>
      <c r="J906" s="39">
        <v>165.29999999999998</v>
      </c>
      <c r="K906" s="39">
        <v>220.4</v>
      </c>
      <c r="L906" s="39">
        <v>385.7</v>
      </c>
      <c r="M906" s="39">
        <v>330.59999999999997</v>
      </c>
      <c r="N906" s="1">
        <f>Tabla3[[#This Row],[TRIMESTRE II]]+Tabla3[[#This Row],[TRIMESTRE  I]]+Tabla3[[#This Row],[TRIMESTRE III]]+Tabla3[[#This Row],[TRIMESTRE IV]]</f>
        <v>1102</v>
      </c>
      <c r="O906" s="40" t="s">
        <v>5</v>
      </c>
      <c r="P906" s="105">
        <v>45291</v>
      </c>
      <c r="Q906" s="38" t="s">
        <v>702</v>
      </c>
    </row>
    <row r="907" spans="2:17" s="106" customFormat="1" ht="37.5" customHeight="1" x14ac:dyDescent="0.2">
      <c r="B907" s="34">
        <v>518</v>
      </c>
      <c r="C907" s="35" t="s">
        <v>749</v>
      </c>
      <c r="D907" s="36">
        <v>530</v>
      </c>
      <c r="E907" s="42" t="str">
        <f>IF(D907&lt;=0,"",VLOOKUP(D907,[5]FF!A:D,2,0))</f>
        <v>PARTICIPACIONES Ramo 28</v>
      </c>
      <c r="F907" s="36" t="s">
        <v>763</v>
      </c>
      <c r="G907" s="37" t="s">
        <v>461</v>
      </c>
      <c r="H907" s="38">
        <v>216001</v>
      </c>
      <c r="I907" s="41" t="str">
        <f>IF(H907&lt;=0,"",VLOOKUP(H907,[5]COG!A:H,2,0))</f>
        <v>Material de limpieza</v>
      </c>
      <c r="J907" s="39">
        <v>174.45</v>
      </c>
      <c r="K907" s="39">
        <v>232.60000000000002</v>
      </c>
      <c r="L907" s="39">
        <v>407.04999999999995</v>
      </c>
      <c r="M907" s="39">
        <v>348.9</v>
      </c>
      <c r="N907" s="1">
        <f>Tabla3[[#This Row],[TRIMESTRE II]]+Tabla3[[#This Row],[TRIMESTRE  I]]+Tabla3[[#This Row],[TRIMESTRE III]]+Tabla3[[#This Row],[TRIMESTRE IV]]</f>
        <v>1163</v>
      </c>
      <c r="O907" s="40" t="s">
        <v>5</v>
      </c>
      <c r="P907" s="105">
        <v>45291</v>
      </c>
      <c r="Q907" s="38" t="s">
        <v>702</v>
      </c>
    </row>
    <row r="908" spans="2:17" s="106" customFormat="1" ht="37.5" customHeight="1" x14ac:dyDescent="0.2">
      <c r="B908" s="34">
        <v>518</v>
      </c>
      <c r="C908" s="35" t="s">
        <v>749</v>
      </c>
      <c r="D908" s="36">
        <v>530</v>
      </c>
      <c r="E908" s="42" t="str">
        <f>IF(D908&lt;=0,"",VLOOKUP(D908,[5]FF!A:D,2,0))</f>
        <v>PARTICIPACIONES Ramo 28</v>
      </c>
      <c r="F908" s="36" t="s">
        <v>764</v>
      </c>
      <c r="G908" s="37" t="s">
        <v>461</v>
      </c>
      <c r="H908" s="38">
        <v>216001</v>
      </c>
      <c r="I908" s="41" t="str">
        <f>IF(H908&lt;=0,"",VLOOKUP(H908,[5]COG!A:H,2,0))</f>
        <v>Material de limpieza</v>
      </c>
      <c r="J908" s="39">
        <v>274.2</v>
      </c>
      <c r="K908" s="39">
        <v>365.6</v>
      </c>
      <c r="L908" s="39">
        <v>639.79999999999995</v>
      </c>
      <c r="M908" s="39">
        <v>548.4</v>
      </c>
      <c r="N908" s="1">
        <f>Tabla3[[#This Row],[TRIMESTRE II]]+Tabla3[[#This Row],[TRIMESTRE  I]]+Tabla3[[#This Row],[TRIMESTRE III]]+Tabla3[[#This Row],[TRIMESTRE IV]]</f>
        <v>1828</v>
      </c>
      <c r="O908" s="40" t="s">
        <v>5</v>
      </c>
      <c r="P908" s="105">
        <v>45291</v>
      </c>
      <c r="Q908" s="38" t="s">
        <v>702</v>
      </c>
    </row>
    <row r="909" spans="2:17" s="106" customFormat="1" ht="37.5" customHeight="1" x14ac:dyDescent="0.2">
      <c r="B909" s="34">
        <v>519</v>
      </c>
      <c r="C909" s="35" t="s">
        <v>749</v>
      </c>
      <c r="D909" s="36">
        <v>530</v>
      </c>
      <c r="E909" s="42" t="str">
        <f>IF(D909&lt;=0,"",VLOOKUP(D909,[5]FF!A:D,2,0))</f>
        <v>PARTICIPACIONES Ramo 28</v>
      </c>
      <c r="F909" s="36" t="s">
        <v>765</v>
      </c>
      <c r="G909" s="37" t="s">
        <v>461</v>
      </c>
      <c r="H909" s="38">
        <v>216001</v>
      </c>
      <c r="I909" s="41" t="str">
        <f>IF(H909&lt;=0,"",VLOOKUP(H909,[5]COG!A:H,2,0))</f>
        <v>Material de limpieza</v>
      </c>
      <c r="J909" s="39">
        <v>840.44999999999993</v>
      </c>
      <c r="K909" s="39">
        <v>1120.6000000000001</v>
      </c>
      <c r="L909" s="39">
        <v>1961.05</v>
      </c>
      <c r="M909" s="39">
        <v>1680.8999999999999</v>
      </c>
      <c r="N909" s="1">
        <f>Tabla3[[#This Row],[TRIMESTRE II]]+Tabla3[[#This Row],[TRIMESTRE  I]]+Tabla3[[#This Row],[TRIMESTRE III]]+Tabla3[[#This Row],[TRIMESTRE IV]]</f>
        <v>5603</v>
      </c>
      <c r="O909" s="40" t="s">
        <v>5</v>
      </c>
      <c r="P909" s="105">
        <v>45291</v>
      </c>
      <c r="Q909" s="38" t="s">
        <v>702</v>
      </c>
    </row>
    <row r="910" spans="2:17" s="106" customFormat="1" ht="37.5" customHeight="1" x14ac:dyDescent="0.2">
      <c r="B910" s="34">
        <v>520</v>
      </c>
      <c r="C910" s="35" t="s">
        <v>749</v>
      </c>
      <c r="D910" s="36">
        <v>530</v>
      </c>
      <c r="E910" s="42" t="str">
        <f>IF(D910&lt;=0,"",VLOOKUP(D910,[5]FF!A:D,2,0))</f>
        <v>PARTICIPACIONES Ramo 28</v>
      </c>
      <c r="F910" s="36" t="s">
        <v>766</v>
      </c>
      <c r="G910" s="37" t="s">
        <v>461</v>
      </c>
      <c r="H910" s="38">
        <v>216001</v>
      </c>
      <c r="I910" s="41" t="str">
        <f>IF(H910&lt;=0,"",VLOOKUP(H910,[5]COG!A:H,2,0))</f>
        <v>Material de limpieza</v>
      </c>
      <c r="J910" s="39">
        <v>698.55</v>
      </c>
      <c r="K910" s="39">
        <v>931.40000000000009</v>
      </c>
      <c r="L910" s="39">
        <v>1629.9499999999998</v>
      </c>
      <c r="M910" s="39">
        <v>1397.1</v>
      </c>
      <c r="N910" s="1">
        <f>Tabla3[[#This Row],[TRIMESTRE II]]+Tabla3[[#This Row],[TRIMESTRE  I]]+Tabla3[[#This Row],[TRIMESTRE III]]+Tabla3[[#This Row],[TRIMESTRE IV]]</f>
        <v>4657</v>
      </c>
      <c r="O910" s="40" t="s">
        <v>5</v>
      </c>
      <c r="P910" s="105">
        <v>45291</v>
      </c>
      <c r="Q910" s="38" t="s">
        <v>702</v>
      </c>
    </row>
    <row r="911" spans="2:17" s="106" customFormat="1" ht="37.5" customHeight="1" x14ac:dyDescent="0.2">
      <c r="B911" s="34">
        <v>516</v>
      </c>
      <c r="C911" s="35" t="s">
        <v>749</v>
      </c>
      <c r="D911" s="36">
        <v>530</v>
      </c>
      <c r="E911" s="42" t="str">
        <f>IF(D911&lt;=0,"",VLOOKUP(D911,[5]FF!A:D,2,0))</f>
        <v>PARTICIPACIONES Ramo 28</v>
      </c>
      <c r="F911" s="36" t="s">
        <v>750</v>
      </c>
      <c r="G911" s="37" t="s">
        <v>461</v>
      </c>
      <c r="H911" s="38">
        <v>261001</v>
      </c>
      <c r="I911" s="41" t="str">
        <f>IF(H911&lt;=0,"",VLOOKUP(H911,[5]COG!A:H,2,0))</f>
        <v>Combustibles</v>
      </c>
      <c r="J911" s="39">
        <v>164305.79999999999</v>
      </c>
      <c r="K911" s="39">
        <v>350000</v>
      </c>
      <c r="L911" s="39">
        <v>410000</v>
      </c>
      <c r="M911" s="39">
        <v>328611.59999999998</v>
      </c>
      <c r="N911" s="1">
        <f>Tabla3[[#This Row],[TRIMESTRE II]]+Tabla3[[#This Row],[TRIMESTRE  I]]+Tabla3[[#This Row],[TRIMESTRE III]]+Tabla3[[#This Row],[TRIMESTRE IV]]</f>
        <v>1252917.3999999999</v>
      </c>
      <c r="O911" s="40" t="s">
        <v>5</v>
      </c>
      <c r="P911" s="105">
        <v>45291</v>
      </c>
      <c r="Q911" s="38" t="s">
        <v>702</v>
      </c>
    </row>
    <row r="912" spans="2:17" s="106" customFormat="1" ht="37.5" customHeight="1" x14ac:dyDescent="0.2">
      <c r="B912" s="34">
        <v>516</v>
      </c>
      <c r="C912" s="35" t="s">
        <v>749</v>
      </c>
      <c r="D912" s="36">
        <v>530</v>
      </c>
      <c r="E912" s="42" t="str">
        <f>IF(D912&lt;=0,"",VLOOKUP(D912,[5]FF!A:D,2,0))</f>
        <v>PARTICIPACIONES Ramo 28</v>
      </c>
      <c r="F912" s="36" t="s">
        <v>751</v>
      </c>
      <c r="G912" s="37" t="s">
        <v>461</v>
      </c>
      <c r="H912" s="38">
        <v>261001</v>
      </c>
      <c r="I912" s="41" t="str">
        <f>IF(H912&lt;=0,"",VLOOKUP(H912,[5]COG!A:H,2,0))</f>
        <v>Combustibles</v>
      </c>
      <c r="J912" s="39">
        <v>14225.4</v>
      </c>
      <c r="K912" s="39">
        <v>18967.2</v>
      </c>
      <c r="L912" s="39">
        <v>33192.6</v>
      </c>
      <c r="M912" s="39">
        <v>28450.799999999999</v>
      </c>
      <c r="N912" s="1">
        <f>Tabla3[[#This Row],[TRIMESTRE II]]+Tabla3[[#This Row],[TRIMESTRE  I]]+Tabla3[[#This Row],[TRIMESTRE III]]+Tabla3[[#This Row],[TRIMESTRE IV]]</f>
        <v>94836</v>
      </c>
      <c r="O912" s="40" t="s">
        <v>5</v>
      </c>
      <c r="P912" s="105">
        <v>45291</v>
      </c>
      <c r="Q912" s="38" t="s">
        <v>702</v>
      </c>
    </row>
    <row r="913" spans="2:17" s="106" customFormat="1" ht="37.5" customHeight="1" x14ac:dyDescent="0.2">
      <c r="B913" s="34">
        <v>516</v>
      </c>
      <c r="C913" s="35" t="s">
        <v>749</v>
      </c>
      <c r="D913" s="36">
        <v>530</v>
      </c>
      <c r="E913" s="42" t="str">
        <f>IF(D913&lt;=0,"",VLOOKUP(D913,[5]FF!A:D,2,0))</f>
        <v>PARTICIPACIONES Ramo 28</v>
      </c>
      <c r="F913" s="36" t="s">
        <v>753</v>
      </c>
      <c r="G913" s="37" t="s">
        <v>461</v>
      </c>
      <c r="H913" s="38">
        <v>261001</v>
      </c>
      <c r="I913" s="41" t="str">
        <f>IF(H913&lt;=0,"",VLOOKUP(H913,[5]COG!A:H,2,0))</f>
        <v>Combustibles</v>
      </c>
      <c r="J913" s="39">
        <v>15805.8</v>
      </c>
      <c r="K913" s="39">
        <v>25000</v>
      </c>
      <c r="L913" s="39">
        <v>36880.199999999997</v>
      </c>
      <c r="M913" s="39">
        <v>31611.599999999999</v>
      </c>
      <c r="N913" s="1">
        <f>Tabla3[[#This Row],[TRIMESTRE II]]+Tabla3[[#This Row],[TRIMESTRE  I]]+Tabla3[[#This Row],[TRIMESTRE III]]+Tabla3[[#This Row],[TRIMESTRE IV]]</f>
        <v>109297.60000000001</v>
      </c>
      <c r="O913" s="40" t="s">
        <v>5</v>
      </c>
      <c r="P913" s="105">
        <v>45291</v>
      </c>
      <c r="Q913" s="38" t="s">
        <v>702</v>
      </c>
    </row>
    <row r="914" spans="2:17" s="106" customFormat="1" ht="37.5" customHeight="1" x14ac:dyDescent="0.2">
      <c r="B914" s="34">
        <v>516</v>
      </c>
      <c r="C914" s="35" t="s">
        <v>749</v>
      </c>
      <c r="D914" s="36">
        <v>530</v>
      </c>
      <c r="E914" s="42" t="str">
        <f>IF(D914&lt;=0,"",VLOOKUP(D914,[5]FF!A:D,2,0))</f>
        <v>PARTICIPACIONES Ramo 28</v>
      </c>
      <c r="F914" s="36" t="s">
        <v>754</v>
      </c>
      <c r="G914" s="37" t="s">
        <v>461</v>
      </c>
      <c r="H914" s="38">
        <v>261001</v>
      </c>
      <c r="I914" s="41" t="str">
        <f>IF(H914&lt;=0,"",VLOOKUP(H914,[5]COG!A:H,2,0))</f>
        <v>Combustibles</v>
      </c>
      <c r="J914" s="39">
        <v>35501.1</v>
      </c>
      <c r="K914" s="39">
        <v>52000</v>
      </c>
      <c r="L914" s="39">
        <v>82835.899999999994</v>
      </c>
      <c r="M914" s="39">
        <v>71002.2</v>
      </c>
      <c r="N914" s="1">
        <f>Tabla3[[#This Row],[TRIMESTRE II]]+Tabla3[[#This Row],[TRIMESTRE  I]]+Tabla3[[#This Row],[TRIMESTRE III]]+Tabla3[[#This Row],[TRIMESTRE IV]]</f>
        <v>241339.2</v>
      </c>
      <c r="O914" s="40" t="s">
        <v>5</v>
      </c>
      <c r="P914" s="105">
        <v>45291</v>
      </c>
      <c r="Q914" s="38" t="s">
        <v>702</v>
      </c>
    </row>
    <row r="915" spans="2:17" s="106" customFormat="1" ht="37.5" customHeight="1" x14ac:dyDescent="0.2">
      <c r="B915" s="34">
        <v>517</v>
      </c>
      <c r="C915" s="35" t="s">
        <v>749</v>
      </c>
      <c r="D915" s="36">
        <v>530</v>
      </c>
      <c r="E915" s="42" t="str">
        <f>IF(D915&lt;=0,"",VLOOKUP(D915,[5]FF!A:D,2,0))</f>
        <v>PARTICIPACIONES Ramo 28</v>
      </c>
      <c r="F915" s="36" t="s">
        <v>759</v>
      </c>
      <c r="G915" s="37" t="s">
        <v>461</v>
      </c>
      <c r="H915" s="38">
        <v>261001</v>
      </c>
      <c r="I915" s="41" t="str">
        <f>IF(H915&lt;=0,"",VLOOKUP(H915,[5]COG!A:H,2,0))</f>
        <v>Combustibles</v>
      </c>
      <c r="J915" s="39">
        <v>4424.3999999999996</v>
      </c>
      <c r="K915" s="39">
        <v>7800</v>
      </c>
      <c r="L915" s="39">
        <v>10323.599999999999</v>
      </c>
      <c r="M915" s="39">
        <v>8848.7999999999993</v>
      </c>
      <c r="N915" s="1">
        <f>Tabla3[[#This Row],[TRIMESTRE II]]+Tabla3[[#This Row],[TRIMESTRE  I]]+Tabla3[[#This Row],[TRIMESTRE III]]+Tabla3[[#This Row],[TRIMESTRE IV]]</f>
        <v>31396.799999999999</v>
      </c>
      <c r="O915" s="40" t="s">
        <v>5</v>
      </c>
      <c r="P915" s="105">
        <v>45291</v>
      </c>
      <c r="Q915" s="38" t="s">
        <v>702</v>
      </c>
    </row>
    <row r="916" spans="2:17" s="106" customFormat="1" ht="37.5" customHeight="1" x14ac:dyDescent="0.2">
      <c r="B916" s="34">
        <v>518</v>
      </c>
      <c r="C916" s="35" t="s">
        <v>749</v>
      </c>
      <c r="D916" s="36">
        <v>530</v>
      </c>
      <c r="E916" s="42" t="str">
        <f>IF(D916&lt;=0,"",VLOOKUP(D916,[5]FF!A:D,2,0))</f>
        <v>PARTICIPACIONES Ramo 28</v>
      </c>
      <c r="F916" s="36" t="s">
        <v>761</v>
      </c>
      <c r="G916" s="37" t="s">
        <v>461</v>
      </c>
      <c r="H916" s="38">
        <v>261001</v>
      </c>
      <c r="I916" s="41" t="str">
        <f>IF(H916&lt;=0,"",VLOOKUP(H916,[5]COG!A:H,2,0))</f>
        <v>Combustibles</v>
      </c>
      <c r="J916" s="39">
        <v>22129.200000000001</v>
      </c>
      <c r="K916" s="39">
        <v>29505.600000000002</v>
      </c>
      <c r="L916" s="39">
        <v>55000</v>
      </c>
      <c r="M916" s="39">
        <v>44258.400000000001</v>
      </c>
      <c r="N916" s="1">
        <f>Tabla3[[#This Row],[TRIMESTRE II]]+Tabla3[[#This Row],[TRIMESTRE  I]]+Tabla3[[#This Row],[TRIMESTRE III]]+Tabla3[[#This Row],[TRIMESTRE IV]]</f>
        <v>150893.20000000001</v>
      </c>
      <c r="O916" s="40" t="s">
        <v>5</v>
      </c>
      <c r="P916" s="105">
        <v>45291</v>
      </c>
      <c r="Q916" s="38" t="s">
        <v>702</v>
      </c>
    </row>
    <row r="917" spans="2:17" s="106" customFormat="1" ht="37.5" customHeight="1" x14ac:dyDescent="0.2">
      <c r="B917" s="34">
        <v>518</v>
      </c>
      <c r="C917" s="35" t="s">
        <v>749</v>
      </c>
      <c r="D917" s="36">
        <v>530</v>
      </c>
      <c r="E917" s="42" t="str">
        <f>IF(D917&lt;=0,"",VLOOKUP(D917,[5]FF!A:D,2,0))</f>
        <v>PARTICIPACIONES Ramo 28</v>
      </c>
      <c r="F917" s="36" t="s">
        <v>762</v>
      </c>
      <c r="G917" s="37" t="s">
        <v>461</v>
      </c>
      <c r="H917" s="38">
        <v>261001</v>
      </c>
      <c r="I917" s="41" t="str">
        <f>IF(H917&lt;=0,"",VLOOKUP(H917,[5]COG!A:H,2,0))</f>
        <v>Combustibles</v>
      </c>
      <c r="J917" s="39">
        <v>1448.7</v>
      </c>
      <c r="K917" s="39">
        <v>5000</v>
      </c>
      <c r="L917" s="39">
        <v>3380.2999999999997</v>
      </c>
      <c r="M917" s="39">
        <v>2897.4</v>
      </c>
      <c r="N917" s="1">
        <f>Tabla3[[#This Row],[TRIMESTRE II]]+Tabla3[[#This Row],[TRIMESTRE  I]]+Tabla3[[#This Row],[TRIMESTRE III]]+Tabla3[[#This Row],[TRIMESTRE IV]]</f>
        <v>12726.4</v>
      </c>
      <c r="O917" s="40" t="s">
        <v>5</v>
      </c>
      <c r="P917" s="105">
        <v>45291</v>
      </c>
      <c r="Q917" s="38" t="s">
        <v>702</v>
      </c>
    </row>
    <row r="918" spans="2:17" s="106" customFormat="1" ht="37.5" customHeight="1" x14ac:dyDescent="0.2">
      <c r="B918" s="34">
        <v>518</v>
      </c>
      <c r="C918" s="35" t="s">
        <v>749</v>
      </c>
      <c r="D918" s="36">
        <v>530</v>
      </c>
      <c r="E918" s="42" t="str">
        <f>IF(D918&lt;=0,"",VLOOKUP(D918,[5]FF!A:D,2,0))</f>
        <v>PARTICIPACIONES Ramo 28</v>
      </c>
      <c r="F918" s="36" t="s">
        <v>763</v>
      </c>
      <c r="G918" s="37" t="s">
        <v>461</v>
      </c>
      <c r="H918" s="38">
        <v>261001</v>
      </c>
      <c r="I918" s="41" t="str">
        <f>IF(H918&lt;=0,"",VLOOKUP(H918,[5]COG!A:H,2,0))</f>
        <v>Combustibles</v>
      </c>
      <c r="J918" s="39">
        <v>2529</v>
      </c>
      <c r="K918" s="39">
        <v>7000</v>
      </c>
      <c r="L918" s="39">
        <v>5901</v>
      </c>
      <c r="M918" s="39">
        <v>5058</v>
      </c>
      <c r="N918" s="1">
        <f>Tabla3[[#This Row],[TRIMESTRE II]]+Tabla3[[#This Row],[TRIMESTRE  I]]+Tabla3[[#This Row],[TRIMESTRE III]]+Tabla3[[#This Row],[TRIMESTRE IV]]</f>
        <v>20488</v>
      </c>
      <c r="O918" s="40" t="s">
        <v>5</v>
      </c>
      <c r="P918" s="105">
        <v>45291</v>
      </c>
      <c r="Q918" s="38" t="s">
        <v>702</v>
      </c>
    </row>
    <row r="919" spans="2:17" s="106" customFormat="1" ht="37.5" customHeight="1" x14ac:dyDescent="0.2">
      <c r="B919" s="34">
        <v>518</v>
      </c>
      <c r="C919" s="35" t="s">
        <v>749</v>
      </c>
      <c r="D919" s="36">
        <v>530</v>
      </c>
      <c r="E919" s="42" t="str">
        <f>IF(D919&lt;=0,"",VLOOKUP(D919,[5]FF!A:D,2,0))</f>
        <v>PARTICIPACIONES Ramo 28</v>
      </c>
      <c r="F919" s="36" t="s">
        <v>764</v>
      </c>
      <c r="G919" s="37" t="s">
        <v>461</v>
      </c>
      <c r="H919" s="38">
        <v>261001</v>
      </c>
      <c r="I919" s="41" t="str">
        <f>IF(H919&lt;=0,"",VLOOKUP(H919,[5]COG!A:H,2,0))</f>
        <v>Combustibles</v>
      </c>
      <c r="J919" s="39">
        <v>6321.5999999999995</v>
      </c>
      <c r="K919" s="39">
        <v>8428.8000000000011</v>
      </c>
      <c r="L919" s="39">
        <v>14750.4</v>
      </c>
      <c r="M919" s="39">
        <v>12643.199999999999</v>
      </c>
      <c r="N919" s="1">
        <f>Tabla3[[#This Row],[TRIMESTRE II]]+Tabla3[[#This Row],[TRIMESTRE  I]]+Tabla3[[#This Row],[TRIMESTRE III]]+Tabla3[[#This Row],[TRIMESTRE IV]]</f>
        <v>42144</v>
      </c>
      <c r="O919" s="40" t="s">
        <v>5</v>
      </c>
      <c r="P919" s="105">
        <v>45291</v>
      </c>
      <c r="Q919" s="38" t="s">
        <v>702</v>
      </c>
    </row>
    <row r="920" spans="2:17" s="106" customFormat="1" ht="37.5" customHeight="1" x14ac:dyDescent="0.2">
      <c r="B920" s="34">
        <v>519</v>
      </c>
      <c r="C920" s="35" t="s">
        <v>749</v>
      </c>
      <c r="D920" s="36">
        <v>530</v>
      </c>
      <c r="E920" s="42" t="str">
        <f>IF(D920&lt;=0,"",VLOOKUP(D920,[5]FF!A:D,2,0))</f>
        <v>PARTICIPACIONES Ramo 28</v>
      </c>
      <c r="F920" s="36" t="s">
        <v>765</v>
      </c>
      <c r="G920" s="37" t="s">
        <v>461</v>
      </c>
      <c r="H920" s="38">
        <v>261001</v>
      </c>
      <c r="I920" s="41" t="str">
        <f>IF(H920&lt;=0,"",VLOOKUP(H920,[5]COG!A:H,2,0))</f>
        <v>Combustibles</v>
      </c>
      <c r="J920" s="39">
        <v>9484.1999999999989</v>
      </c>
      <c r="K920" s="39">
        <v>12645.6</v>
      </c>
      <c r="L920" s="39">
        <v>22129.8</v>
      </c>
      <c r="M920" s="39">
        <v>18968.399999999998</v>
      </c>
      <c r="N920" s="1">
        <f>Tabla3[[#This Row],[TRIMESTRE II]]+Tabla3[[#This Row],[TRIMESTRE  I]]+Tabla3[[#This Row],[TRIMESTRE III]]+Tabla3[[#This Row],[TRIMESTRE IV]]</f>
        <v>63228</v>
      </c>
      <c r="O920" s="40" t="s">
        <v>5</v>
      </c>
      <c r="P920" s="105">
        <v>45291</v>
      </c>
      <c r="Q920" s="38" t="s">
        <v>702</v>
      </c>
    </row>
    <row r="921" spans="2:17" s="106" customFormat="1" ht="37.5" customHeight="1" x14ac:dyDescent="0.2">
      <c r="B921" s="34">
        <v>520</v>
      </c>
      <c r="C921" s="35" t="s">
        <v>749</v>
      </c>
      <c r="D921" s="36">
        <v>530</v>
      </c>
      <c r="E921" s="42" t="str">
        <f>IF(D921&lt;=0,"",VLOOKUP(D921,[5]FF!A:D,2,0))</f>
        <v>PARTICIPACIONES Ramo 28</v>
      </c>
      <c r="F921" s="36" t="s">
        <v>766</v>
      </c>
      <c r="G921" s="37" t="s">
        <v>461</v>
      </c>
      <c r="H921" s="38">
        <v>261001</v>
      </c>
      <c r="I921" s="41" t="str">
        <f>IF(H921&lt;=0,"",VLOOKUP(H921,[5]COG!A:H,2,0))</f>
        <v>Combustibles</v>
      </c>
      <c r="J921" s="39">
        <v>79032.599999999991</v>
      </c>
      <c r="K921" s="39">
        <v>105376.8</v>
      </c>
      <c r="L921" s="39">
        <v>184409.4</v>
      </c>
      <c r="M921" s="39">
        <v>158065.19999999998</v>
      </c>
      <c r="N921" s="1">
        <f>Tabla3[[#This Row],[TRIMESTRE II]]+Tabla3[[#This Row],[TRIMESTRE  I]]+Tabla3[[#This Row],[TRIMESTRE III]]+Tabla3[[#This Row],[TRIMESTRE IV]]</f>
        <v>526884</v>
      </c>
      <c r="O921" s="40" t="s">
        <v>5</v>
      </c>
      <c r="P921" s="105">
        <v>45291</v>
      </c>
      <c r="Q921" s="38" t="s">
        <v>702</v>
      </c>
    </row>
    <row r="922" spans="2:17" s="106" customFormat="1" ht="37.5" customHeight="1" x14ac:dyDescent="0.2">
      <c r="B922" s="34">
        <v>517</v>
      </c>
      <c r="C922" s="35" t="s">
        <v>749</v>
      </c>
      <c r="D922" s="36">
        <v>530</v>
      </c>
      <c r="E922" s="42" t="str">
        <f>IF(D922&lt;=0,"",VLOOKUP(D922,[5]FF!A:D,2,0))</f>
        <v>PARTICIPACIONES Ramo 28</v>
      </c>
      <c r="F922" s="36" t="s">
        <v>759</v>
      </c>
      <c r="G922" s="37" t="s">
        <v>458</v>
      </c>
      <c r="H922" s="38">
        <v>371001</v>
      </c>
      <c r="I922" s="41" t="str">
        <f>IF(H922&lt;=0,"",VLOOKUP(H922,[5]COG!A:H,2,0))</f>
        <v>Pasajes aéreos</v>
      </c>
      <c r="J922" s="39">
        <v>645</v>
      </c>
      <c r="K922" s="39">
        <v>860</v>
      </c>
      <c r="L922" s="39">
        <v>3500</v>
      </c>
      <c r="M922" s="39">
        <v>1290</v>
      </c>
      <c r="N922" s="1">
        <f>Tabla3[[#This Row],[TRIMESTRE II]]+Tabla3[[#This Row],[TRIMESTRE  I]]+Tabla3[[#This Row],[TRIMESTRE III]]+Tabla3[[#This Row],[TRIMESTRE IV]]</f>
        <v>6295</v>
      </c>
      <c r="O922" s="40" t="s">
        <v>5</v>
      </c>
      <c r="P922" s="105">
        <v>45291</v>
      </c>
      <c r="Q922" s="38" t="s">
        <v>702</v>
      </c>
    </row>
    <row r="923" spans="2:17" s="106" customFormat="1" ht="37.5" customHeight="1" x14ac:dyDescent="0.2">
      <c r="B923" s="34">
        <v>520</v>
      </c>
      <c r="C923" s="35" t="s">
        <v>749</v>
      </c>
      <c r="D923" s="36">
        <v>530</v>
      </c>
      <c r="E923" s="42" t="str">
        <f>IF(D923&lt;=0,"",VLOOKUP(D923,[5]FF!A:D,2,0))</f>
        <v>PARTICIPACIONES Ramo 28</v>
      </c>
      <c r="F923" s="36" t="s">
        <v>766</v>
      </c>
      <c r="G923" s="37" t="s">
        <v>458</v>
      </c>
      <c r="H923" s="38">
        <v>371001</v>
      </c>
      <c r="I923" s="41" t="str">
        <f>IF(H923&lt;=0,"",VLOOKUP(H923,[5]COG!A:H,2,0))</f>
        <v>Pasajes aéreos</v>
      </c>
      <c r="J923" s="39">
        <v>10390.049999999999</v>
      </c>
      <c r="K923" s="39">
        <v>13853.400000000001</v>
      </c>
      <c r="L923" s="39">
        <v>27000</v>
      </c>
      <c r="M923" s="39">
        <v>20780.099999999999</v>
      </c>
      <c r="N923" s="1">
        <f>Tabla3[[#This Row],[TRIMESTRE II]]+Tabla3[[#This Row],[TRIMESTRE  I]]+Tabla3[[#This Row],[TRIMESTRE III]]+Tabla3[[#This Row],[TRIMESTRE IV]]</f>
        <v>72023.549999999988</v>
      </c>
      <c r="O923" s="40" t="s">
        <v>5</v>
      </c>
      <c r="P923" s="105">
        <v>45291</v>
      </c>
      <c r="Q923" s="38" t="s">
        <v>702</v>
      </c>
    </row>
    <row r="924" spans="2:17" s="106" customFormat="1" ht="37.5" customHeight="1" x14ac:dyDescent="0.2">
      <c r="B924" s="34">
        <v>516</v>
      </c>
      <c r="C924" s="35" t="s">
        <v>749</v>
      </c>
      <c r="D924" s="36">
        <v>530</v>
      </c>
      <c r="E924" s="42" t="str">
        <f>IF(D924&lt;=0,"",VLOOKUP(D924,[5]FF!A:D,2,0))</f>
        <v>PARTICIPACIONES Ramo 28</v>
      </c>
      <c r="F924" s="36" t="s">
        <v>750</v>
      </c>
      <c r="G924" s="37" t="s">
        <v>458</v>
      </c>
      <c r="H924" s="38">
        <v>338001</v>
      </c>
      <c r="I924" s="41" t="str">
        <f>IF(H924&lt;=0,"",VLOOKUP(H924,[5]COG!A:H,2,0))</f>
        <v>Servicio de seguridad privada</v>
      </c>
      <c r="J924" s="39">
        <v>1113832.5</v>
      </c>
      <c r="K924" s="39">
        <v>1485110</v>
      </c>
      <c r="L924" s="39">
        <v>2598942.5</v>
      </c>
      <c r="M924" s="39">
        <v>1227000</v>
      </c>
      <c r="N924" s="1">
        <f>Tabla3[[#This Row],[TRIMESTRE II]]+Tabla3[[#This Row],[TRIMESTRE  I]]+Tabla3[[#This Row],[TRIMESTRE III]]+Tabla3[[#This Row],[TRIMESTRE IV]]</f>
        <v>6424885</v>
      </c>
      <c r="O924" s="40" t="s">
        <v>5</v>
      </c>
      <c r="P924" s="105">
        <v>45291</v>
      </c>
      <c r="Q924" s="38" t="s">
        <v>702</v>
      </c>
    </row>
    <row r="925" spans="2:17" s="106" customFormat="1" ht="37.5" customHeight="1" x14ac:dyDescent="0.2">
      <c r="B925" s="34">
        <v>516</v>
      </c>
      <c r="C925" s="35" t="s">
        <v>749</v>
      </c>
      <c r="D925" s="36">
        <v>530</v>
      </c>
      <c r="E925" s="42" t="str">
        <f>IF(D925&lt;=0,"",VLOOKUP(D925,[5]FF!A:D,2,0))</f>
        <v>PARTICIPACIONES Ramo 28</v>
      </c>
      <c r="F925" s="36" t="s">
        <v>750</v>
      </c>
      <c r="G925" s="37" t="s">
        <v>458</v>
      </c>
      <c r="H925" s="38">
        <v>323001</v>
      </c>
      <c r="I925" s="41" t="str">
        <f>IF(H925&lt;=0,"",VLOOKUP(H925,[5]COG!A:H,2,0))</f>
        <v>Arrendamiento de maquinaria y equipo</v>
      </c>
      <c r="J925" s="39">
        <v>85000</v>
      </c>
      <c r="K925" s="39">
        <v>95705.200000000012</v>
      </c>
      <c r="L925" s="39">
        <v>167484.09999999998</v>
      </c>
      <c r="M925" s="39">
        <v>143557.79999999999</v>
      </c>
      <c r="N925" s="1">
        <f>Tabla3[[#This Row],[TRIMESTRE II]]+Tabla3[[#This Row],[TRIMESTRE  I]]+Tabla3[[#This Row],[TRIMESTRE III]]+Tabla3[[#This Row],[TRIMESTRE IV]]</f>
        <v>491747.1</v>
      </c>
      <c r="O925" s="40" t="s">
        <v>5</v>
      </c>
      <c r="P925" s="105">
        <v>45291</v>
      </c>
      <c r="Q925" s="38" t="s">
        <v>702</v>
      </c>
    </row>
    <row r="926" spans="2:17" s="106" customFormat="1" ht="37.5" customHeight="1" x14ac:dyDescent="0.2">
      <c r="B926" s="34">
        <v>516</v>
      </c>
      <c r="C926" s="35" t="s">
        <v>749</v>
      </c>
      <c r="D926" s="36">
        <v>530</v>
      </c>
      <c r="E926" s="42" t="str">
        <f>IF(D926&lt;=0,"",VLOOKUP(D926,[5]FF!A:D,2,0))</f>
        <v>PARTICIPACIONES Ramo 28</v>
      </c>
      <c r="F926" s="36" t="s">
        <v>751</v>
      </c>
      <c r="G926" s="37" t="s">
        <v>458</v>
      </c>
      <c r="H926" s="38">
        <v>323001</v>
      </c>
      <c r="I926" s="41" t="str">
        <f>IF(H926&lt;=0,"",VLOOKUP(H926,[5]COG!A:H,2,0))</f>
        <v>Arrendamiento de maquinaria y equipo</v>
      </c>
      <c r="J926" s="39">
        <v>2457</v>
      </c>
      <c r="K926" s="39">
        <v>3276</v>
      </c>
      <c r="L926" s="39">
        <v>67000</v>
      </c>
      <c r="M926" s="39">
        <v>4914</v>
      </c>
      <c r="N926" s="1">
        <f>Tabla3[[#This Row],[TRIMESTRE II]]+Tabla3[[#This Row],[TRIMESTRE  I]]+Tabla3[[#This Row],[TRIMESTRE III]]+Tabla3[[#This Row],[TRIMESTRE IV]]</f>
        <v>77647</v>
      </c>
      <c r="O926" s="40" t="s">
        <v>5</v>
      </c>
      <c r="P926" s="105">
        <v>45291</v>
      </c>
      <c r="Q926" s="38" t="s">
        <v>702</v>
      </c>
    </row>
    <row r="927" spans="2:17" ht="25.5" x14ac:dyDescent="0.2">
      <c r="B927" s="34">
        <v>517</v>
      </c>
      <c r="C927" s="35" t="s">
        <v>749</v>
      </c>
      <c r="D927" s="36">
        <v>530</v>
      </c>
      <c r="E927" s="42" t="str">
        <f>IF(D927&lt;=0,"",VLOOKUP(D927,[5]FF!A:D,2,0))</f>
        <v>PARTICIPACIONES Ramo 28</v>
      </c>
      <c r="F927" s="36" t="s">
        <v>759</v>
      </c>
      <c r="G927" s="37" t="s">
        <v>458</v>
      </c>
      <c r="H927" s="38">
        <v>323001</v>
      </c>
      <c r="I927" s="41" t="str">
        <f>IF(H927&lt;=0,"",VLOOKUP(H927,[5]COG!A:H,2,0))</f>
        <v>Arrendamiento de maquinaria y equipo</v>
      </c>
      <c r="J927" s="39">
        <v>2142</v>
      </c>
      <c r="K927" s="39">
        <v>3500</v>
      </c>
      <c r="L927" s="39">
        <v>4998</v>
      </c>
      <c r="M927" s="39">
        <v>4284</v>
      </c>
      <c r="N927" s="1">
        <f>Tabla3[[#This Row],[TRIMESTRE II]]+Tabla3[[#This Row],[TRIMESTRE  I]]+Tabla3[[#This Row],[TRIMESTRE III]]+Tabla3[[#This Row],[TRIMESTRE IV]]</f>
        <v>14924</v>
      </c>
      <c r="O927" s="40" t="s">
        <v>5</v>
      </c>
      <c r="P927" s="105">
        <v>45291</v>
      </c>
      <c r="Q927" s="38" t="s">
        <v>702</v>
      </c>
    </row>
    <row r="928" spans="2:17" x14ac:dyDescent="0.2">
      <c r="B928" s="34"/>
      <c r="C928" s="35"/>
      <c r="D928" s="36"/>
      <c r="E928" s="42"/>
      <c r="F928" s="36"/>
      <c r="G928" s="37"/>
      <c r="H928" s="38"/>
      <c r="I928" s="41"/>
      <c r="J928" s="39"/>
      <c r="K928" s="39"/>
      <c r="L928" s="39"/>
      <c r="M928" s="39"/>
      <c r="N928" s="1">
        <f>SUBTOTAL(109,Tabla3[[PRESUPUESTO ANUAL AUTORIZADO ]])</f>
        <v>10457532.25</v>
      </c>
      <c r="O928" s="40"/>
      <c r="P928" s="105"/>
      <c r="Q928" s="38"/>
    </row>
    <row r="929" spans="2:17" x14ac:dyDescent="0.2">
      <c r="B929" s="46"/>
      <c r="C929" s="47"/>
      <c r="D929" s="48"/>
      <c r="E929" s="43"/>
      <c r="F929" s="37"/>
      <c r="G929" s="37"/>
      <c r="H929" s="49"/>
      <c r="I929" s="44"/>
      <c r="J929" s="39"/>
      <c r="K929" s="39"/>
      <c r="L929" s="50"/>
      <c r="M929" s="50"/>
      <c r="N929" s="1"/>
      <c r="O929" s="39"/>
      <c r="P929" s="39"/>
      <c r="Q929" s="59"/>
    </row>
    <row r="930" spans="2:17" ht="23.25" x14ac:dyDescent="0.2">
      <c r="B930" s="111" t="s">
        <v>4</v>
      </c>
      <c r="C930" s="111"/>
      <c r="D930" s="111"/>
      <c r="E930" s="111"/>
      <c r="F930" s="111"/>
      <c r="G930" s="111"/>
      <c r="H930" s="111"/>
      <c r="I930" s="111"/>
      <c r="J930" s="111"/>
      <c r="K930" s="111"/>
      <c r="L930" s="111"/>
      <c r="M930" s="111"/>
      <c r="N930" s="111"/>
      <c r="O930" s="111"/>
      <c r="P930" s="111"/>
      <c r="Q930" s="111"/>
    </row>
    <row r="931" spans="2:17" ht="23.25" x14ac:dyDescent="0.2">
      <c r="B931" s="109" t="s">
        <v>743</v>
      </c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</row>
    <row r="932" spans="2:17" s="90" customFormat="1" ht="23.25" x14ac:dyDescent="0.2">
      <c r="B932" s="110" t="s">
        <v>466</v>
      </c>
      <c r="C932" s="110"/>
      <c r="D932" s="110"/>
      <c r="E932" s="110"/>
      <c r="F932" s="110"/>
      <c r="G932" s="110"/>
      <c r="H932" s="110"/>
      <c r="I932" s="110"/>
      <c r="J932" s="110"/>
      <c r="K932" s="110"/>
      <c r="L932" s="110"/>
      <c r="M932" s="110"/>
      <c r="N932" s="110"/>
      <c r="O932" s="110"/>
      <c r="P932" s="110"/>
      <c r="Q932" s="110"/>
    </row>
    <row r="933" spans="2:17" ht="44.25" customHeight="1" x14ac:dyDescent="0.2">
      <c r="B933" s="5" t="s">
        <v>9</v>
      </c>
      <c r="C933" s="5" t="s">
        <v>10</v>
      </c>
      <c r="D933" s="5" t="s">
        <v>1</v>
      </c>
      <c r="E933" s="5" t="s">
        <v>0</v>
      </c>
      <c r="F933" s="78" t="s">
        <v>17</v>
      </c>
      <c r="G933" s="5" t="s">
        <v>2</v>
      </c>
      <c r="H933" s="5" t="s">
        <v>11</v>
      </c>
      <c r="I933" s="5" t="s">
        <v>16</v>
      </c>
      <c r="J933" s="5" t="s">
        <v>465</v>
      </c>
      <c r="K933" s="5" t="s">
        <v>462</v>
      </c>
      <c r="L933" s="5" t="s">
        <v>463</v>
      </c>
      <c r="M933" s="5" t="s">
        <v>464</v>
      </c>
      <c r="N933" s="5" t="s">
        <v>12</v>
      </c>
      <c r="O933" s="5" t="s">
        <v>3</v>
      </c>
      <c r="P933" s="5" t="s">
        <v>13</v>
      </c>
      <c r="Q933" s="5" t="s">
        <v>8</v>
      </c>
    </row>
    <row r="934" spans="2:17" ht="37.5" customHeight="1" x14ac:dyDescent="0.2">
      <c r="B934" s="34">
        <v>701112</v>
      </c>
      <c r="C934" s="35" t="s">
        <v>578</v>
      </c>
      <c r="D934" s="36">
        <v>530</v>
      </c>
      <c r="E934" s="101" t="str">
        <f>IF(D934&lt;=0,"",VLOOKUP(D934,[6]FF!A:D,2,0))</f>
        <v>PARTICIPACIONES Ramo 28</v>
      </c>
      <c r="F934" s="102" t="s">
        <v>579</v>
      </c>
      <c r="G934" s="102" t="s">
        <v>461</v>
      </c>
      <c r="H934" s="103">
        <v>211001</v>
      </c>
      <c r="I934" s="104" t="str">
        <f>IF(H934&lt;=0,"",VLOOKUP(H934,[6]COG!A:H,2,0))</f>
        <v>Material de oficina</v>
      </c>
      <c r="J934" s="40">
        <v>12702.25</v>
      </c>
      <c r="K934" s="40">
        <v>12702.25</v>
      </c>
      <c r="L934" s="40">
        <v>12702.25</v>
      </c>
      <c r="M934" s="40">
        <v>12702.25</v>
      </c>
      <c r="N934" s="1">
        <f>Tabla6[[#This Row],[TRIMESTRE  I]]+Tabla6[[#This Row],[TRIMESTRE II]]+Tabla6[[#This Row],[TRIMESTRE III]]+Tabla6[[#This Row],[TRIMESTRE IV]]</f>
        <v>50809</v>
      </c>
      <c r="O934" s="39" t="s">
        <v>580</v>
      </c>
      <c r="P934" s="79">
        <v>45291</v>
      </c>
      <c r="Q934" s="59" t="s">
        <v>581</v>
      </c>
    </row>
    <row r="935" spans="2:17" ht="37.5" customHeight="1" x14ac:dyDescent="0.2">
      <c r="B935" s="34">
        <v>701112</v>
      </c>
      <c r="C935" s="35" t="s">
        <v>578</v>
      </c>
      <c r="D935" s="36">
        <v>530</v>
      </c>
      <c r="E935" s="101" t="str">
        <f>IF(D935&lt;=0,"",VLOOKUP(D935,[6]FF!A:D,2,0))</f>
        <v>PARTICIPACIONES Ramo 28</v>
      </c>
      <c r="F935" s="102" t="s">
        <v>579</v>
      </c>
      <c r="G935" s="102" t="s">
        <v>461</v>
      </c>
      <c r="H935" s="103">
        <v>212001</v>
      </c>
      <c r="I935" s="104" t="str">
        <f>IF(H935&lt;=0,"",VLOOKUP(H935,[6]COG!A:H,2,0))</f>
        <v>Material y útiles de impresión</v>
      </c>
      <c r="J935" s="40">
        <v>3189</v>
      </c>
      <c r="K935" s="40">
        <v>3189</v>
      </c>
      <c r="L935" s="40">
        <v>3189</v>
      </c>
      <c r="M935" s="40">
        <v>3189</v>
      </c>
      <c r="N935" s="1">
        <f>Tabla6[[#This Row],[TRIMESTRE  I]]+Tabla6[[#This Row],[TRIMESTRE II]]+Tabla6[[#This Row],[TRIMESTRE III]]+Tabla6[[#This Row],[TRIMESTRE IV]]</f>
        <v>12756</v>
      </c>
      <c r="O935" s="39" t="s">
        <v>15</v>
      </c>
      <c r="P935" s="79">
        <v>45291</v>
      </c>
      <c r="Q935" s="59" t="s">
        <v>582</v>
      </c>
    </row>
    <row r="936" spans="2:17" ht="37.5" customHeight="1" x14ac:dyDescent="0.2">
      <c r="B936" s="34">
        <v>701112</v>
      </c>
      <c r="C936" s="35" t="s">
        <v>578</v>
      </c>
      <c r="D936" s="36">
        <v>530</v>
      </c>
      <c r="E936" s="101" t="str">
        <f>IF(D936&lt;=0,"",VLOOKUP(D936,[6]FF!A:D,2,0))</f>
        <v>PARTICIPACIONES Ramo 28</v>
      </c>
      <c r="F936" s="102" t="s">
        <v>579</v>
      </c>
      <c r="G936" s="102" t="s">
        <v>461</v>
      </c>
      <c r="H936" s="103">
        <v>216001</v>
      </c>
      <c r="I936" s="104" t="str">
        <f>IF(H936&lt;=0,"",VLOOKUP(H936,[6]COG!A:H,2,0))</f>
        <v>Material de limpieza</v>
      </c>
      <c r="J936" s="40">
        <v>9513.25</v>
      </c>
      <c r="K936" s="40">
        <v>9513.25</v>
      </c>
      <c r="L936" s="40">
        <v>9513.25</v>
      </c>
      <c r="M936" s="40">
        <v>9513.25</v>
      </c>
      <c r="N936" s="1">
        <f>Tabla6[[#This Row],[TRIMESTRE  I]]+Tabla6[[#This Row],[TRIMESTRE II]]+Tabla6[[#This Row],[TRIMESTRE III]]+Tabla6[[#This Row],[TRIMESTRE IV]]</f>
        <v>38053</v>
      </c>
      <c r="O936" s="39" t="s">
        <v>580</v>
      </c>
      <c r="P936" s="79">
        <v>45291</v>
      </c>
      <c r="Q936" s="59" t="s">
        <v>581</v>
      </c>
    </row>
    <row r="937" spans="2:17" ht="37.5" customHeight="1" x14ac:dyDescent="0.2">
      <c r="B937" s="34">
        <v>701112</v>
      </c>
      <c r="C937" s="35" t="s">
        <v>578</v>
      </c>
      <c r="D937" s="36">
        <v>530</v>
      </c>
      <c r="E937" s="101" t="str">
        <f>IF(D937&lt;=0,"",VLOOKUP(D937,[6]FF!A:D,2,0))</f>
        <v>PARTICIPACIONES Ramo 28</v>
      </c>
      <c r="F937" s="102" t="s">
        <v>579</v>
      </c>
      <c r="G937" s="102" t="s">
        <v>461</v>
      </c>
      <c r="H937" s="103">
        <v>261001</v>
      </c>
      <c r="I937" s="104" t="str">
        <f>IF(H937&lt;=0,"",VLOOKUP(H937,[6]COG!A:H,2,0))</f>
        <v>Combustibles</v>
      </c>
      <c r="J937" s="40">
        <v>90000</v>
      </c>
      <c r="K937" s="40">
        <v>90000</v>
      </c>
      <c r="L937" s="40">
        <v>90000</v>
      </c>
      <c r="M937" s="40">
        <v>90000</v>
      </c>
      <c r="N937" s="1">
        <f>Tabla6[[#This Row],[TRIMESTRE  I]]+Tabla6[[#This Row],[TRIMESTRE II]]+Tabla6[[#This Row],[TRIMESTRE III]]+Tabla6[[#This Row],[TRIMESTRE IV]]</f>
        <v>360000</v>
      </c>
      <c r="O937" s="39" t="s">
        <v>580</v>
      </c>
      <c r="P937" s="79">
        <v>45291</v>
      </c>
      <c r="Q937" s="59" t="s">
        <v>581</v>
      </c>
    </row>
    <row r="938" spans="2:17" ht="37.5" customHeight="1" x14ac:dyDescent="0.2">
      <c r="B938" s="34">
        <v>701112</v>
      </c>
      <c r="C938" s="35" t="s">
        <v>578</v>
      </c>
      <c r="D938" s="36">
        <v>530</v>
      </c>
      <c r="E938" s="101" t="str">
        <f>IF(D938&lt;=0,"",VLOOKUP(D938,[6]FF!A:D,2,0))</f>
        <v>PARTICIPACIONES Ramo 28</v>
      </c>
      <c r="F938" s="102" t="s">
        <v>579</v>
      </c>
      <c r="G938" s="102" t="s">
        <v>458</v>
      </c>
      <c r="H938" s="103">
        <v>323001</v>
      </c>
      <c r="I938" s="104" t="str">
        <f>IF(H938&lt;=0,"",VLOOKUP(H938,[6]COG!A:H,2,0))</f>
        <v>Arrendamiento de maquinaria y equipo</v>
      </c>
      <c r="J938" s="40">
        <v>39866</v>
      </c>
      <c r="K938" s="40">
        <v>39866</v>
      </c>
      <c r="L938" s="40">
        <v>39866</v>
      </c>
      <c r="M938" s="40">
        <v>39866</v>
      </c>
      <c r="N938" s="1">
        <f>Tabla6[[#This Row],[TRIMESTRE  I]]+Tabla6[[#This Row],[TRIMESTRE II]]+Tabla6[[#This Row],[TRIMESTRE III]]+Tabla6[[#This Row],[TRIMESTRE IV]]</f>
        <v>159464</v>
      </c>
      <c r="O938" s="39" t="s">
        <v>580</v>
      </c>
      <c r="P938" s="79">
        <v>45291</v>
      </c>
      <c r="Q938" s="59" t="s">
        <v>581</v>
      </c>
    </row>
    <row r="939" spans="2:17" ht="37.5" customHeight="1" x14ac:dyDescent="0.2">
      <c r="B939" s="34">
        <v>701112</v>
      </c>
      <c r="C939" s="35" t="s">
        <v>578</v>
      </c>
      <c r="D939" s="36">
        <v>530</v>
      </c>
      <c r="E939" s="101" t="str">
        <f>IF(D939&lt;=0,"",VLOOKUP(D939,[6]FF!A:D,2,0))</f>
        <v>PARTICIPACIONES Ramo 28</v>
      </c>
      <c r="F939" s="102" t="s">
        <v>579</v>
      </c>
      <c r="G939" s="102" t="s">
        <v>458</v>
      </c>
      <c r="H939" s="103">
        <v>345001</v>
      </c>
      <c r="I939" s="104" t="str">
        <f>IF(H939&lt;=0,"",VLOOKUP(H939,[6]COG!A:H,2,0))</f>
        <v>Seguros</v>
      </c>
      <c r="J939" s="40">
        <v>58499</v>
      </c>
      <c r="K939" s="40">
        <v>58499</v>
      </c>
      <c r="L939" s="40">
        <v>58499</v>
      </c>
      <c r="M939" s="40">
        <v>58499</v>
      </c>
      <c r="N939" s="1">
        <f>Tabla6[[#This Row],[TRIMESTRE  I]]+Tabla6[[#This Row],[TRIMESTRE II]]+Tabla6[[#This Row],[TRIMESTRE III]]+Tabla6[[#This Row],[TRIMESTRE IV]]</f>
        <v>233996</v>
      </c>
      <c r="O939" s="39" t="s">
        <v>6</v>
      </c>
      <c r="P939" s="79">
        <v>45291</v>
      </c>
      <c r="Q939" s="59" t="s">
        <v>583</v>
      </c>
    </row>
    <row r="940" spans="2:17" ht="37.5" customHeight="1" x14ac:dyDescent="0.2">
      <c r="B940" s="34">
        <v>701112</v>
      </c>
      <c r="C940" s="35" t="s">
        <v>578</v>
      </c>
      <c r="D940" s="36">
        <v>530</v>
      </c>
      <c r="E940" s="101" t="str">
        <f>IF(D940&lt;=0,"",VLOOKUP(D940,[6]FF!A:D,2,0))</f>
        <v>PARTICIPACIONES Ramo 28</v>
      </c>
      <c r="F940" s="102" t="s">
        <v>579</v>
      </c>
      <c r="G940" s="102" t="s">
        <v>458</v>
      </c>
      <c r="H940" s="103">
        <v>352001</v>
      </c>
      <c r="I940" s="104" t="str">
        <f>IF(H940&lt;=0,"",VLOOKUP(H940,[6]COG!A:H,2,0))</f>
        <v>Mantenimiento de mobiliario y equipo</v>
      </c>
      <c r="J940" s="40">
        <v>2124.75</v>
      </c>
      <c r="K940" s="40">
        <v>2124.75</v>
      </c>
      <c r="L940" s="40">
        <v>2124.75</v>
      </c>
      <c r="M940" s="40">
        <v>2124.75</v>
      </c>
      <c r="N940" s="1">
        <f>Tabla6[[#This Row],[TRIMESTRE  I]]+Tabla6[[#This Row],[TRIMESTRE II]]+Tabla6[[#This Row],[TRIMESTRE III]]+Tabla6[[#This Row],[TRIMESTRE IV]]</f>
        <v>8499</v>
      </c>
      <c r="O940" s="39" t="s">
        <v>6</v>
      </c>
      <c r="P940" s="79">
        <v>45291</v>
      </c>
      <c r="Q940" s="59" t="s">
        <v>583</v>
      </c>
    </row>
    <row r="941" spans="2:17" ht="37.5" customHeight="1" x14ac:dyDescent="0.2">
      <c r="B941" s="34">
        <v>701112</v>
      </c>
      <c r="C941" s="35" t="s">
        <v>578</v>
      </c>
      <c r="D941" s="36">
        <v>530</v>
      </c>
      <c r="E941" s="101" t="str">
        <f>IF(D941&lt;=0,"",VLOOKUP(D941,[6]FF!A:D,2,0))</f>
        <v>PARTICIPACIONES Ramo 28</v>
      </c>
      <c r="F941" s="102" t="s">
        <v>579</v>
      </c>
      <c r="G941" s="102" t="s">
        <v>458</v>
      </c>
      <c r="H941" s="103">
        <v>355001</v>
      </c>
      <c r="I941" s="104" t="str">
        <f>IF(H941&lt;=0,"",VLOOKUP(H941,[6]COG!A:H,2,0))</f>
        <v>Mantto. y conservación de vehículos terrestres, aéreos, marítimos, lacustres y fluviales</v>
      </c>
      <c r="J941" s="40">
        <v>8504</v>
      </c>
      <c r="K941" s="40">
        <v>8504</v>
      </c>
      <c r="L941" s="40">
        <v>8504</v>
      </c>
      <c r="M941" s="40">
        <v>8504</v>
      </c>
      <c r="N941" s="1">
        <f>Tabla6[[#This Row],[TRIMESTRE  I]]+Tabla6[[#This Row],[TRIMESTRE II]]+Tabla6[[#This Row],[TRIMESTRE III]]+Tabla6[[#This Row],[TRIMESTRE IV]]</f>
        <v>34016</v>
      </c>
      <c r="O941" s="39" t="s">
        <v>15</v>
      </c>
      <c r="P941" s="79">
        <v>45291</v>
      </c>
      <c r="Q941" s="59" t="s">
        <v>582</v>
      </c>
    </row>
    <row r="942" spans="2:17" ht="37.5" customHeight="1" x14ac:dyDescent="0.2">
      <c r="B942" s="34">
        <v>701112</v>
      </c>
      <c r="C942" s="35" t="s">
        <v>578</v>
      </c>
      <c r="D942" s="36">
        <v>530</v>
      </c>
      <c r="E942" s="101" t="str">
        <f>IF(D942&lt;=0,"",VLOOKUP(D942,[6]FF!A:D,2,0))</f>
        <v>PARTICIPACIONES Ramo 28</v>
      </c>
      <c r="F942" s="102" t="s">
        <v>579</v>
      </c>
      <c r="G942" s="102" t="s">
        <v>458</v>
      </c>
      <c r="H942" s="103">
        <v>371001</v>
      </c>
      <c r="I942" s="104" t="str">
        <f>IF(H942&lt;=0,"",VLOOKUP(H942,[6]COG!A:H,2,0))</f>
        <v>Pasajes aéreos</v>
      </c>
      <c r="J942" s="40">
        <v>23593</v>
      </c>
      <c r="K942" s="40">
        <v>23593</v>
      </c>
      <c r="L942" s="40">
        <v>23593</v>
      </c>
      <c r="M942" s="40">
        <v>23593</v>
      </c>
      <c r="N942" s="1">
        <f>Tabla6[[#This Row],[TRIMESTRE  I]]+Tabla6[[#This Row],[TRIMESTRE II]]+Tabla6[[#This Row],[TRIMESTRE III]]+Tabla6[[#This Row],[TRIMESTRE IV]]</f>
        <v>94372</v>
      </c>
      <c r="O942" s="39" t="s">
        <v>580</v>
      </c>
      <c r="P942" s="79">
        <v>45291</v>
      </c>
      <c r="Q942" s="59" t="s">
        <v>581</v>
      </c>
    </row>
    <row r="943" spans="2:17" ht="37.5" customHeight="1" x14ac:dyDescent="0.2">
      <c r="B943" s="34">
        <v>701114</v>
      </c>
      <c r="C943" s="35" t="s">
        <v>578</v>
      </c>
      <c r="D943" s="36">
        <v>530</v>
      </c>
      <c r="E943" s="101" t="str">
        <f>IF(D943&lt;=0,"",VLOOKUP(D943,[6]FF!A:D,2,0))</f>
        <v>PARTICIPACIONES Ramo 28</v>
      </c>
      <c r="F943" s="102" t="s">
        <v>584</v>
      </c>
      <c r="G943" s="102" t="s">
        <v>461</v>
      </c>
      <c r="H943" s="103">
        <v>211001</v>
      </c>
      <c r="I943" s="104" t="str">
        <f>IF(H943&lt;=0,"",VLOOKUP(H943,[6]COG!A:H,2,0))</f>
        <v>Material de oficina</v>
      </c>
      <c r="J943" s="40">
        <v>10544.25</v>
      </c>
      <c r="K943" s="40">
        <v>10544.25</v>
      </c>
      <c r="L943" s="40">
        <v>10544.25</v>
      </c>
      <c r="M943" s="40">
        <v>10544.25</v>
      </c>
      <c r="N943" s="1">
        <f>Tabla6[[#This Row],[TRIMESTRE  I]]+Tabla6[[#This Row],[TRIMESTRE II]]+Tabla6[[#This Row],[TRIMESTRE III]]+Tabla6[[#This Row],[TRIMESTRE IV]]</f>
        <v>42177</v>
      </c>
      <c r="O943" s="39" t="s">
        <v>580</v>
      </c>
      <c r="P943" s="79">
        <v>45291</v>
      </c>
      <c r="Q943" s="59" t="s">
        <v>581</v>
      </c>
    </row>
    <row r="944" spans="2:17" ht="37.5" customHeight="1" x14ac:dyDescent="0.2">
      <c r="B944" s="34">
        <v>701114</v>
      </c>
      <c r="C944" s="35" t="s">
        <v>578</v>
      </c>
      <c r="D944" s="36">
        <v>530</v>
      </c>
      <c r="E944" s="101" t="str">
        <f>IF(D944&lt;=0,"",VLOOKUP(D944,[6]FF!A:D,2,0))</f>
        <v>PARTICIPACIONES Ramo 28</v>
      </c>
      <c r="F944" s="102" t="s">
        <v>584</v>
      </c>
      <c r="G944" s="102" t="s">
        <v>461</v>
      </c>
      <c r="H944" s="103">
        <v>212001</v>
      </c>
      <c r="I944" s="104" t="str">
        <f>IF(H944&lt;=0,"",VLOOKUP(H944,[6]COG!A:H,2,0))</f>
        <v>Material y útiles de impresión</v>
      </c>
      <c r="J944" s="40">
        <v>2643</v>
      </c>
      <c r="K944" s="40">
        <v>2643</v>
      </c>
      <c r="L944" s="40">
        <v>2643</v>
      </c>
      <c r="M944" s="40">
        <v>2643</v>
      </c>
      <c r="N944" s="1">
        <f>Tabla6[[#This Row],[TRIMESTRE  I]]+Tabla6[[#This Row],[TRIMESTRE II]]+Tabla6[[#This Row],[TRIMESTRE III]]+Tabla6[[#This Row],[TRIMESTRE IV]]</f>
        <v>10572</v>
      </c>
      <c r="O944" s="39" t="s">
        <v>15</v>
      </c>
      <c r="P944" s="79">
        <v>45291</v>
      </c>
      <c r="Q944" s="59" t="s">
        <v>582</v>
      </c>
    </row>
    <row r="945" spans="2:17" ht="37.5" customHeight="1" x14ac:dyDescent="0.2">
      <c r="B945" s="34">
        <v>701114</v>
      </c>
      <c r="C945" s="35" t="s">
        <v>578</v>
      </c>
      <c r="D945" s="36">
        <v>530</v>
      </c>
      <c r="E945" s="101" t="str">
        <f>IF(D945&lt;=0,"",VLOOKUP(D945,[6]FF!A:D,2,0))</f>
        <v>PARTICIPACIONES Ramo 28</v>
      </c>
      <c r="F945" s="102" t="s">
        <v>584</v>
      </c>
      <c r="G945" s="102" t="s">
        <v>461</v>
      </c>
      <c r="H945" s="103">
        <v>216001</v>
      </c>
      <c r="I945" s="104" t="str">
        <f>IF(H945&lt;=0,"",VLOOKUP(H945,[6]COG!A:H,2,0))</f>
        <v>Material de limpieza</v>
      </c>
      <c r="J945" s="40">
        <v>12035</v>
      </c>
      <c r="K945" s="40">
        <v>12035</v>
      </c>
      <c r="L945" s="40">
        <v>12035</v>
      </c>
      <c r="M945" s="40">
        <v>12035</v>
      </c>
      <c r="N945" s="1">
        <f>Tabla6[[#This Row],[TRIMESTRE  I]]+Tabla6[[#This Row],[TRIMESTRE II]]+Tabla6[[#This Row],[TRIMESTRE III]]+Tabla6[[#This Row],[TRIMESTRE IV]]</f>
        <v>48140</v>
      </c>
      <c r="O945" s="39" t="s">
        <v>580</v>
      </c>
      <c r="P945" s="79">
        <v>45291</v>
      </c>
      <c r="Q945" s="59" t="s">
        <v>581</v>
      </c>
    </row>
    <row r="946" spans="2:17" ht="37.5" customHeight="1" x14ac:dyDescent="0.2">
      <c r="B946" s="34">
        <v>701114</v>
      </c>
      <c r="C946" s="35" t="s">
        <v>578</v>
      </c>
      <c r="D946" s="36">
        <v>530</v>
      </c>
      <c r="E946" s="101" t="str">
        <f>IF(D946&lt;=0,"",VLOOKUP(D946,[6]FF!A:D,2,0))</f>
        <v>PARTICIPACIONES Ramo 28</v>
      </c>
      <c r="F946" s="102" t="s">
        <v>584</v>
      </c>
      <c r="G946" s="102" t="s">
        <v>461</v>
      </c>
      <c r="H946" s="103">
        <v>261001</v>
      </c>
      <c r="I946" s="104" t="str">
        <f>IF(H946&lt;=0,"",VLOOKUP(H946,[6]COG!A:H,2,0))</f>
        <v>Combustibles</v>
      </c>
      <c r="J946" s="40">
        <v>71490</v>
      </c>
      <c r="K946" s="40">
        <v>71490</v>
      </c>
      <c r="L946" s="40">
        <v>71490</v>
      </c>
      <c r="M946" s="40">
        <v>71490</v>
      </c>
      <c r="N946" s="1">
        <f>Tabla6[[#This Row],[TRIMESTRE  I]]+Tabla6[[#This Row],[TRIMESTRE II]]+Tabla6[[#This Row],[TRIMESTRE III]]+Tabla6[[#This Row],[TRIMESTRE IV]]</f>
        <v>285960</v>
      </c>
      <c r="O946" s="39" t="s">
        <v>580</v>
      </c>
      <c r="P946" s="79">
        <v>45291</v>
      </c>
      <c r="Q946" s="59" t="s">
        <v>581</v>
      </c>
    </row>
    <row r="947" spans="2:17" ht="37.5" customHeight="1" x14ac:dyDescent="0.2">
      <c r="B947" s="34">
        <v>701114</v>
      </c>
      <c r="C947" s="35" t="s">
        <v>578</v>
      </c>
      <c r="D947" s="36">
        <v>530</v>
      </c>
      <c r="E947" s="101" t="str">
        <f>IF(D947&lt;=0,"",VLOOKUP(D947,[6]FF!A:D,2,0))</f>
        <v>PARTICIPACIONES Ramo 28</v>
      </c>
      <c r="F947" s="102" t="s">
        <v>584</v>
      </c>
      <c r="G947" s="102" t="s">
        <v>458</v>
      </c>
      <c r="H947" s="103">
        <v>323001</v>
      </c>
      <c r="I947" s="104" t="str">
        <f>IF(H947&lt;=0,"",VLOOKUP(H947,[6]COG!A:H,2,0))</f>
        <v>Arrendamiento de maquinaria y equipo</v>
      </c>
      <c r="J947" s="40">
        <v>49504</v>
      </c>
      <c r="K947" s="40">
        <v>49504</v>
      </c>
      <c r="L947" s="40">
        <v>49504</v>
      </c>
      <c r="M947" s="40">
        <v>49504</v>
      </c>
      <c r="N947" s="1">
        <f>Tabla6[[#This Row],[TRIMESTRE  I]]+Tabla6[[#This Row],[TRIMESTRE II]]+Tabla6[[#This Row],[TRIMESTRE III]]+Tabla6[[#This Row],[TRIMESTRE IV]]</f>
        <v>198016</v>
      </c>
      <c r="O947" s="39" t="s">
        <v>580</v>
      </c>
      <c r="P947" s="79">
        <v>45291</v>
      </c>
      <c r="Q947" s="59" t="s">
        <v>581</v>
      </c>
    </row>
    <row r="948" spans="2:17" ht="37.5" customHeight="1" x14ac:dyDescent="0.2">
      <c r="B948" s="34">
        <v>701114</v>
      </c>
      <c r="C948" s="35" t="s">
        <v>578</v>
      </c>
      <c r="D948" s="36">
        <v>530</v>
      </c>
      <c r="E948" s="101" t="str">
        <f>IF(D948&lt;=0,"",VLOOKUP(D948,[6]FF!A:D,2,0))</f>
        <v>PARTICIPACIONES Ramo 28</v>
      </c>
      <c r="F948" s="102" t="s">
        <v>584</v>
      </c>
      <c r="G948" s="102" t="s">
        <v>458</v>
      </c>
      <c r="H948" s="103">
        <v>352001</v>
      </c>
      <c r="I948" s="104" t="str">
        <f>IF(H948&lt;=0,"",VLOOKUP(H948,[6]COG!A:H,2,0))</f>
        <v>Mantenimiento de mobiliario y equipo</v>
      </c>
      <c r="J948" s="40">
        <v>4500.75</v>
      </c>
      <c r="K948" s="40">
        <v>4500.75</v>
      </c>
      <c r="L948" s="40">
        <v>4500.75</v>
      </c>
      <c r="M948" s="40">
        <v>4500.75</v>
      </c>
      <c r="N948" s="1">
        <f>Tabla6[[#This Row],[TRIMESTRE  I]]+Tabla6[[#This Row],[TRIMESTRE II]]+Tabla6[[#This Row],[TRIMESTRE III]]+Tabla6[[#This Row],[TRIMESTRE IV]]</f>
        <v>18003</v>
      </c>
      <c r="O948" s="39" t="s">
        <v>6</v>
      </c>
      <c r="P948" s="79">
        <v>45291</v>
      </c>
      <c r="Q948" s="59" t="s">
        <v>583</v>
      </c>
    </row>
    <row r="949" spans="2:17" ht="37.5" customHeight="1" x14ac:dyDescent="0.2">
      <c r="B949" s="34">
        <v>701114</v>
      </c>
      <c r="C949" s="35" t="s">
        <v>578</v>
      </c>
      <c r="D949" s="36">
        <v>530</v>
      </c>
      <c r="E949" s="101" t="str">
        <f>IF(D949&lt;=0,"",VLOOKUP(D949,[6]FF!A:D,2,0))</f>
        <v>PARTICIPACIONES Ramo 28</v>
      </c>
      <c r="F949" s="102" t="s">
        <v>584</v>
      </c>
      <c r="G949" s="102" t="s">
        <v>458</v>
      </c>
      <c r="H949" s="103">
        <v>355001</v>
      </c>
      <c r="I949" s="104" t="str">
        <f>IF(H949&lt;=0,"",VLOOKUP(H949,[6]COG!A:H,2,0))</f>
        <v>Mantto. y conservación de vehículos terrestres, aéreos, marítimos, lacustres y fluviales</v>
      </c>
      <c r="J949" s="40">
        <v>16105.5</v>
      </c>
      <c r="K949" s="40">
        <v>16105.5</v>
      </c>
      <c r="L949" s="40">
        <v>16105.5</v>
      </c>
      <c r="M949" s="40">
        <v>16105.5</v>
      </c>
      <c r="N949" s="1">
        <f>Tabla6[[#This Row],[TRIMESTRE  I]]+Tabla6[[#This Row],[TRIMESTRE II]]+Tabla6[[#This Row],[TRIMESTRE III]]+Tabla6[[#This Row],[TRIMESTRE IV]]</f>
        <v>64422</v>
      </c>
      <c r="O949" s="39" t="s">
        <v>15</v>
      </c>
      <c r="P949" s="79">
        <v>45291</v>
      </c>
      <c r="Q949" s="59" t="s">
        <v>583</v>
      </c>
    </row>
    <row r="950" spans="2:17" ht="37.5" customHeight="1" x14ac:dyDescent="0.2">
      <c r="B950" s="34">
        <v>701115</v>
      </c>
      <c r="C950" s="35" t="s">
        <v>585</v>
      </c>
      <c r="D950" s="36">
        <v>530</v>
      </c>
      <c r="E950" s="101" t="str">
        <f>IF(D950&lt;=0,"",VLOOKUP(D950,[6]FF!A:D,2,0))</f>
        <v>PARTICIPACIONES Ramo 28</v>
      </c>
      <c r="F950" s="102" t="s">
        <v>586</v>
      </c>
      <c r="G950" s="102" t="s">
        <v>461</v>
      </c>
      <c r="H950" s="103">
        <v>211001</v>
      </c>
      <c r="I950" s="104" t="str">
        <f>IF(H950&lt;=0,"",VLOOKUP(H950,[6]COG!A:H,2,0))</f>
        <v>Material de oficina</v>
      </c>
      <c r="J950" s="40">
        <v>14678.25</v>
      </c>
      <c r="K950" s="40">
        <v>14678.25</v>
      </c>
      <c r="L950" s="40">
        <v>14678.25</v>
      </c>
      <c r="M950" s="40">
        <v>14678.25</v>
      </c>
      <c r="N950" s="1">
        <f>Tabla6[[#This Row],[TRIMESTRE  I]]+Tabla6[[#This Row],[TRIMESTRE II]]+Tabla6[[#This Row],[TRIMESTRE III]]+Tabla6[[#This Row],[TRIMESTRE IV]]</f>
        <v>58713</v>
      </c>
      <c r="O950" s="39" t="s">
        <v>580</v>
      </c>
      <c r="P950" s="79">
        <v>45291</v>
      </c>
      <c r="Q950" s="59" t="s">
        <v>581</v>
      </c>
    </row>
    <row r="951" spans="2:17" ht="37.5" customHeight="1" x14ac:dyDescent="0.2">
      <c r="B951" s="34">
        <v>701115</v>
      </c>
      <c r="C951" s="35" t="s">
        <v>585</v>
      </c>
      <c r="D951" s="36">
        <v>530</v>
      </c>
      <c r="E951" s="101" t="str">
        <f>IF(D951&lt;=0,"",VLOOKUP(D951,[6]FF!A:D,2,0))</f>
        <v>PARTICIPACIONES Ramo 28</v>
      </c>
      <c r="F951" s="102" t="s">
        <v>586</v>
      </c>
      <c r="G951" s="102" t="s">
        <v>461</v>
      </c>
      <c r="H951" s="103">
        <v>212001</v>
      </c>
      <c r="I951" s="104" t="str">
        <f>IF(H951&lt;=0,"",VLOOKUP(H951,[6]COG!A:H,2,0))</f>
        <v>Material y útiles de impresión</v>
      </c>
      <c r="J951" s="40">
        <v>9323.75</v>
      </c>
      <c r="K951" s="40">
        <v>9323.75</v>
      </c>
      <c r="L951" s="40">
        <v>9323.75</v>
      </c>
      <c r="M951" s="40">
        <v>9323.75</v>
      </c>
      <c r="N951" s="1">
        <f>Tabla6[[#This Row],[TRIMESTRE  I]]+Tabla6[[#This Row],[TRIMESTRE II]]+Tabla6[[#This Row],[TRIMESTRE III]]+Tabla6[[#This Row],[TRIMESTRE IV]]</f>
        <v>37295</v>
      </c>
      <c r="O951" s="39" t="s">
        <v>15</v>
      </c>
      <c r="P951" s="79">
        <v>45291</v>
      </c>
      <c r="Q951" s="59" t="s">
        <v>582</v>
      </c>
    </row>
    <row r="952" spans="2:17" ht="37.5" customHeight="1" x14ac:dyDescent="0.2">
      <c r="B952" s="34">
        <v>701115</v>
      </c>
      <c r="C952" s="35" t="s">
        <v>585</v>
      </c>
      <c r="D952" s="36">
        <v>530</v>
      </c>
      <c r="E952" s="101" t="str">
        <f>IF(D952&lt;=0,"",VLOOKUP(D952,[6]FF!A:D,2,0))</f>
        <v>PARTICIPACIONES Ramo 28</v>
      </c>
      <c r="F952" s="102" t="s">
        <v>586</v>
      </c>
      <c r="G952" s="102" t="s">
        <v>461</v>
      </c>
      <c r="H952" s="103">
        <v>216001</v>
      </c>
      <c r="I952" s="104" t="str">
        <f>IF(H952&lt;=0,"",VLOOKUP(H952,[6]COG!A:H,2,0))</f>
        <v>Material de limpieza</v>
      </c>
      <c r="J952" s="40">
        <v>5695</v>
      </c>
      <c r="K952" s="40">
        <v>5695</v>
      </c>
      <c r="L952" s="40">
        <v>5695</v>
      </c>
      <c r="M952" s="40">
        <v>5695</v>
      </c>
      <c r="N952" s="1">
        <f>Tabla6[[#This Row],[TRIMESTRE  I]]+Tabla6[[#This Row],[TRIMESTRE II]]+Tabla6[[#This Row],[TRIMESTRE III]]+Tabla6[[#This Row],[TRIMESTRE IV]]</f>
        <v>22780</v>
      </c>
      <c r="O952" s="39" t="s">
        <v>580</v>
      </c>
      <c r="P952" s="79">
        <v>45291</v>
      </c>
      <c r="Q952" s="59" t="s">
        <v>581</v>
      </c>
    </row>
    <row r="953" spans="2:17" ht="37.5" customHeight="1" x14ac:dyDescent="0.2">
      <c r="B953" s="34">
        <v>701115</v>
      </c>
      <c r="C953" s="35" t="s">
        <v>585</v>
      </c>
      <c r="D953" s="36">
        <v>530</v>
      </c>
      <c r="E953" s="101" t="str">
        <f>IF(D953&lt;=0,"",VLOOKUP(D953,[6]FF!A:D,2,0))</f>
        <v>PARTICIPACIONES Ramo 28</v>
      </c>
      <c r="F953" s="102" t="s">
        <v>586</v>
      </c>
      <c r="G953" s="102" t="s">
        <v>461</v>
      </c>
      <c r="H953" s="103">
        <v>261001</v>
      </c>
      <c r="I953" s="104" t="str">
        <f>IF(H953&lt;=0,"",VLOOKUP(H953,[6]COG!A:H,2,0))</f>
        <v>Combustibles</v>
      </c>
      <c r="J953" s="40">
        <v>71052</v>
      </c>
      <c r="K953" s="40">
        <v>71052</v>
      </c>
      <c r="L953" s="40">
        <v>71052</v>
      </c>
      <c r="M953" s="40">
        <v>71052</v>
      </c>
      <c r="N953" s="1">
        <f>Tabla6[[#This Row],[TRIMESTRE  I]]+Tabla6[[#This Row],[TRIMESTRE II]]+Tabla6[[#This Row],[TRIMESTRE III]]+Tabla6[[#This Row],[TRIMESTRE IV]]</f>
        <v>284208</v>
      </c>
      <c r="O953" s="39" t="s">
        <v>580</v>
      </c>
      <c r="P953" s="79">
        <v>45291</v>
      </c>
      <c r="Q953" s="59" t="s">
        <v>581</v>
      </c>
    </row>
    <row r="954" spans="2:17" ht="37.5" customHeight="1" x14ac:dyDescent="0.2">
      <c r="B954" s="34">
        <v>701115</v>
      </c>
      <c r="C954" s="35" t="s">
        <v>585</v>
      </c>
      <c r="D954" s="36">
        <v>530</v>
      </c>
      <c r="E954" s="101" t="str">
        <f>IF(D954&lt;=0,"",VLOOKUP(D954,[6]FF!A:D,2,0))</f>
        <v>PARTICIPACIONES Ramo 28</v>
      </c>
      <c r="F954" s="102" t="s">
        <v>586</v>
      </c>
      <c r="G954" s="102" t="s">
        <v>458</v>
      </c>
      <c r="H954" s="103">
        <v>322001</v>
      </c>
      <c r="I954" s="104" t="str">
        <f>IF(H954&lt;=0,"",VLOOKUP(H954,[6]COG!A:H,2,0))</f>
        <v>Arrendamiento de edificios</v>
      </c>
      <c r="J954" s="40">
        <v>179787.25</v>
      </c>
      <c r="K954" s="40">
        <v>179787.25</v>
      </c>
      <c r="L954" s="40">
        <v>179787.25</v>
      </c>
      <c r="M954" s="40">
        <v>179787.25</v>
      </c>
      <c r="N954" s="1">
        <f>Tabla6[[#This Row],[TRIMESTRE  I]]+Tabla6[[#This Row],[TRIMESTRE II]]+Tabla6[[#This Row],[TRIMESTRE III]]+Tabla6[[#This Row],[TRIMESTRE IV]]</f>
        <v>719149</v>
      </c>
      <c r="O954" s="39" t="s">
        <v>6</v>
      </c>
      <c r="P954" s="79">
        <v>45291</v>
      </c>
      <c r="Q954" s="59" t="s">
        <v>583</v>
      </c>
    </row>
    <row r="955" spans="2:17" ht="37.5" customHeight="1" x14ac:dyDescent="0.2">
      <c r="B955" s="34">
        <v>701115</v>
      </c>
      <c r="C955" s="35" t="s">
        <v>585</v>
      </c>
      <c r="D955" s="36">
        <v>530</v>
      </c>
      <c r="E955" s="101" t="str">
        <f>IF(D955&lt;=0,"",VLOOKUP(D955,[6]FF!A:D,2,0))</f>
        <v>PARTICIPACIONES Ramo 28</v>
      </c>
      <c r="F955" s="102" t="s">
        <v>586</v>
      </c>
      <c r="G955" s="102" t="s">
        <v>458</v>
      </c>
      <c r="H955" s="103">
        <v>323001</v>
      </c>
      <c r="I955" s="104" t="str">
        <f>IF(H955&lt;=0,"",VLOOKUP(H955,[6]COG!A:H,2,0))</f>
        <v>Arrendamiento de maquinaria y equipo</v>
      </c>
      <c r="J955" s="40">
        <v>15264</v>
      </c>
      <c r="K955" s="40">
        <v>15264</v>
      </c>
      <c r="L955" s="40">
        <v>15264</v>
      </c>
      <c r="M955" s="40">
        <v>15264</v>
      </c>
      <c r="N955" s="1">
        <f>Tabla6[[#This Row],[TRIMESTRE  I]]+Tabla6[[#This Row],[TRIMESTRE II]]+Tabla6[[#This Row],[TRIMESTRE III]]+Tabla6[[#This Row],[TRIMESTRE IV]]</f>
        <v>61056</v>
      </c>
      <c r="O955" s="39" t="s">
        <v>580</v>
      </c>
      <c r="P955" s="79">
        <v>45291</v>
      </c>
      <c r="Q955" s="59" t="s">
        <v>581</v>
      </c>
    </row>
    <row r="956" spans="2:17" ht="37.5" customHeight="1" x14ac:dyDescent="0.2">
      <c r="B956" s="34">
        <v>701115</v>
      </c>
      <c r="C956" s="35" t="s">
        <v>585</v>
      </c>
      <c r="D956" s="36">
        <v>530</v>
      </c>
      <c r="E956" s="101" t="str">
        <f>IF(D956&lt;=0,"",VLOOKUP(D956,[6]FF!A:D,2,0))</f>
        <v>PARTICIPACIONES Ramo 28</v>
      </c>
      <c r="F956" s="102" t="s">
        <v>586</v>
      </c>
      <c r="G956" s="102" t="s">
        <v>458</v>
      </c>
      <c r="H956" s="103">
        <v>351001</v>
      </c>
      <c r="I956" s="104" t="str">
        <f>IF(H956&lt;=0,"",VLOOKUP(H956,[6]COG!A:H,2,0))</f>
        <v>Mantenimiento de inmuebles</v>
      </c>
      <c r="J956" s="40">
        <v>10757.25</v>
      </c>
      <c r="K956" s="40">
        <v>10757.25</v>
      </c>
      <c r="L956" s="40">
        <v>10757.25</v>
      </c>
      <c r="M956" s="40">
        <v>10757.25</v>
      </c>
      <c r="N956" s="1">
        <f>Tabla6[[#This Row],[TRIMESTRE  I]]+Tabla6[[#This Row],[TRIMESTRE II]]+Tabla6[[#This Row],[TRIMESTRE III]]+Tabla6[[#This Row],[TRIMESTRE IV]]</f>
        <v>43029</v>
      </c>
      <c r="O956" s="39" t="s">
        <v>6</v>
      </c>
      <c r="P956" s="79">
        <v>45291</v>
      </c>
      <c r="Q956" s="59" t="s">
        <v>583</v>
      </c>
    </row>
    <row r="957" spans="2:17" ht="37.5" customHeight="1" x14ac:dyDescent="0.2">
      <c r="B957" s="34">
        <v>701115</v>
      </c>
      <c r="C957" s="35" t="s">
        <v>585</v>
      </c>
      <c r="D957" s="36">
        <v>530</v>
      </c>
      <c r="E957" s="101" t="str">
        <f>IF(D957&lt;=0,"",VLOOKUP(D957,[6]FF!A:D,2,0))</f>
        <v>PARTICIPACIONES Ramo 28</v>
      </c>
      <c r="F957" s="102" t="s">
        <v>586</v>
      </c>
      <c r="G957" s="102" t="s">
        <v>458</v>
      </c>
      <c r="H957" s="103">
        <v>352001</v>
      </c>
      <c r="I957" s="104" t="str">
        <f>IF(H957&lt;=0,"",VLOOKUP(H957,[6]COG!A:H,2,0))</f>
        <v>Mantenimiento de mobiliario y equipo</v>
      </c>
      <c r="J957" s="40">
        <v>3910</v>
      </c>
      <c r="K957" s="40">
        <v>3910</v>
      </c>
      <c r="L957" s="40">
        <v>3910</v>
      </c>
      <c r="M957" s="40">
        <v>3910</v>
      </c>
      <c r="N957" s="1">
        <f>Tabla6[[#This Row],[TRIMESTRE  I]]+Tabla6[[#This Row],[TRIMESTRE II]]+Tabla6[[#This Row],[TRIMESTRE III]]+Tabla6[[#This Row],[TRIMESTRE IV]]</f>
        <v>15640</v>
      </c>
      <c r="O957" s="39" t="s">
        <v>6</v>
      </c>
      <c r="P957" s="79">
        <v>45291</v>
      </c>
      <c r="Q957" s="59" t="s">
        <v>583</v>
      </c>
    </row>
    <row r="958" spans="2:17" ht="37.5" customHeight="1" x14ac:dyDescent="0.2">
      <c r="B958" s="34">
        <v>701115</v>
      </c>
      <c r="C958" s="35" t="s">
        <v>585</v>
      </c>
      <c r="D958" s="36">
        <v>530</v>
      </c>
      <c r="E958" s="101" t="str">
        <f>IF(D958&lt;=0,"",VLOOKUP(D958,[6]FF!A:D,2,0))</f>
        <v>PARTICIPACIONES Ramo 28</v>
      </c>
      <c r="F958" s="102" t="s">
        <v>586</v>
      </c>
      <c r="G958" s="102" t="s">
        <v>458</v>
      </c>
      <c r="H958" s="103">
        <v>355001</v>
      </c>
      <c r="I958" s="104" t="str">
        <f>IF(H958&lt;=0,"",VLOOKUP(H958,[6]COG!A:H,2,0))</f>
        <v>Mantto. y conservación de vehículos terrestres, aéreos, marítimos, lacustres y fluviales</v>
      </c>
      <c r="J958" s="40">
        <v>27540.25</v>
      </c>
      <c r="K958" s="40">
        <v>27540.25</v>
      </c>
      <c r="L958" s="40">
        <v>27540.25</v>
      </c>
      <c r="M958" s="40">
        <v>27540.25</v>
      </c>
      <c r="N958" s="1">
        <f>Tabla6[[#This Row],[TRIMESTRE  I]]+Tabla6[[#This Row],[TRIMESTRE II]]+Tabla6[[#This Row],[TRIMESTRE III]]+Tabla6[[#This Row],[TRIMESTRE IV]]</f>
        <v>110161</v>
      </c>
      <c r="O958" s="39" t="s">
        <v>15</v>
      </c>
      <c r="P958" s="79">
        <v>45291</v>
      </c>
      <c r="Q958" s="59" t="s">
        <v>587</v>
      </c>
    </row>
    <row r="959" spans="2:17" ht="37.5" customHeight="1" x14ac:dyDescent="0.2">
      <c r="B959" s="34">
        <v>701115</v>
      </c>
      <c r="C959" s="35" t="s">
        <v>585</v>
      </c>
      <c r="D959" s="36">
        <v>530</v>
      </c>
      <c r="E959" s="101" t="str">
        <f>IF(D959&lt;=0,"",VLOOKUP(D959,[6]FF!A:D,2,0))</f>
        <v>PARTICIPACIONES Ramo 28</v>
      </c>
      <c r="F959" s="102" t="s">
        <v>586</v>
      </c>
      <c r="G959" s="102" t="s">
        <v>458</v>
      </c>
      <c r="H959" s="103">
        <v>371001</v>
      </c>
      <c r="I959" s="104" t="str">
        <f>IF(H959&lt;=0,"",VLOOKUP(H959,[6]COG!A:H,2,0))</f>
        <v>Pasajes aéreos</v>
      </c>
      <c r="J959" s="40">
        <v>7973</v>
      </c>
      <c r="K959" s="40">
        <v>7973</v>
      </c>
      <c r="L959" s="40">
        <v>7973</v>
      </c>
      <c r="M959" s="40">
        <v>7973</v>
      </c>
      <c r="N959" s="1">
        <f>Tabla6[[#This Row],[TRIMESTRE  I]]+Tabla6[[#This Row],[TRIMESTRE II]]+Tabla6[[#This Row],[TRIMESTRE III]]+Tabla6[[#This Row],[TRIMESTRE IV]]</f>
        <v>31892</v>
      </c>
      <c r="O959" s="39" t="s">
        <v>580</v>
      </c>
      <c r="P959" s="79">
        <v>45291</v>
      </c>
      <c r="Q959" s="59" t="s">
        <v>581</v>
      </c>
    </row>
    <row r="960" spans="2:17" ht="37.5" customHeight="1" x14ac:dyDescent="0.2">
      <c r="B960" s="34">
        <v>7021116</v>
      </c>
      <c r="C960" s="35" t="s">
        <v>578</v>
      </c>
      <c r="D960" s="36">
        <v>530</v>
      </c>
      <c r="E960" s="101" t="s">
        <v>588</v>
      </c>
      <c r="F960" s="102" t="s">
        <v>589</v>
      </c>
      <c r="G960" s="102" t="s">
        <v>461</v>
      </c>
      <c r="H960" s="103">
        <v>211001</v>
      </c>
      <c r="I960" s="104" t="s">
        <v>590</v>
      </c>
      <c r="J960" s="40">
        <v>11820</v>
      </c>
      <c r="K960" s="40">
        <v>11820</v>
      </c>
      <c r="L960" s="40">
        <v>11820</v>
      </c>
      <c r="M960" s="40">
        <v>11820</v>
      </c>
      <c r="N960" s="1">
        <f>Tabla6[[#This Row],[TRIMESTRE  I]]+Tabla6[[#This Row],[TRIMESTRE II]]+Tabla6[[#This Row],[TRIMESTRE III]]+Tabla6[[#This Row],[TRIMESTRE IV]]</f>
        <v>47280</v>
      </c>
      <c r="O960" s="39" t="s">
        <v>5</v>
      </c>
      <c r="P960" s="79">
        <v>45291</v>
      </c>
      <c r="Q960" s="59" t="s">
        <v>581</v>
      </c>
    </row>
    <row r="961" spans="2:17" ht="37.5" customHeight="1" x14ac:dyDescent="0.2">
      <c r="B961" s="34">
        <v>7021116</v>
      </c>
      <c r="C961" s="35" t="s">
        <v>578</v>
      </c>
      <c r="D961" s="36">
        <v>530</v>
      </c>
      <c r="E961" s="101" t="s">
        <v>588</v>
      </c>
      <c r="F961" s="102" t="s">
        <v>589</v>
      </c>
      <c r="G961" s="102" t="s">
        <v>461</v>
      </c>
      <c r="H961" s="103">
        <v>212001</v>
      </c>
      <c r="I961" s="104" t="s">
        <v>591</v>
      </c>
      <c r="J961" s="40">
        <v>4595.25</v>
      </c>
      <c r="K961" s="40">
        <v>4595.25</v>
      </c>
      <c r="L961" s="40">
        <v>4595.25</v>
      </c>
      <c r="M961" s="40">
        <v>4595.25</v>
      </c>
      <c r="N961" s="1">
        <f>Tabla6[[#This Row],[TRIMESTRE  I]]+Tabla6[[#This Row],[TRIMESTRE II]]+Tabla6[[#This Row],[TRIMESTRE III]]+Tabla6[[#This Row],[TRIMESTRE IV]]</f>
        <v>18381</v>
      </c>
      <c r="O961" s="39" t="s">
        <v>15</v>
      </c>
      <c r="P961" s="79">
        <v>45291</v>
      </c>
      <c r="Q961" s="59" t="s">
        <v>587</v>
      </c>
    </row>
    <row r="962" spans="2:17" ht="37.5" customHeight="1" x14ac:dyDescent="0.2">
      <c r="B962" s="34">
        <v>7021116</v>
      </c>
      <c r="C962" s="35" t="s">
        <v>578</v>
      </c>
      <c r="D962" s="36">
        <v>530</v>
      </c>
      <c r="E962" s="101" t="s">
        <v>588</v>
      </c>
      <c r="F962" s="102" t="s">
        <v>589</v>
      </c>
      <c r="G962" s="102" t="s">
        <v>461</v>
      </c>
      <c r="H962" s="103">
        <v>216001</v>
      </c>
      <c r="I962" s="104" t="s">
        <v>592</v>
      </c>
      <c r="J962" s="40">
        <v>5292.5</v>
      </c>
      <c r="K962" s="40">
        <v>5292.5</v>
      </c>
      <c r="L962" s="40">
        <v>5292.5</v>
      </c>
      <c r="M962" s="40">
        <v>5292.5</v>
      </c>
      <c r="N962" s="1">
        <f>Tabla6[[#This Row],[TRIMESTRE  I]]+Tabla6[[#This Row],[TRIMESTRE II]]+Tabla6[[#This Row],[TRIMESTRE III]]+Tabla6[[#This Row],[TRIMESTRE IV]]</f>
        <v>21170</v>
      </c>
      <c r="O962" s="39" t="s">
        <v>5</v>
      </c>
      <c r="P962" s="79">
        <v>45291</v>
      </c>
      <c r="Q962" s="59" t="s">
        <v>581</v>
      </c>
    </row>
    <row r="963" spans="2:17" ht="24" x14ac:dyDescent="0.2">
      <c r="B963" s="34">
        <v>7021116</v>
      </c>
      <c r="C963" s="35" t="s">
        <v>578</v>
      </c>
      <c r="D963" s="36">
        <v>530</v>
      </c>
      <c r="E963" s="101" t="s">
        <v>588</v>
      </c>
      <c r="F963" s="102" t="s">
        <v>589</v>
      </c>
      <c r="G963" s="102" t="s">
        <v>461</v>
      </c>
      <c r="H963" s="103">
        <v>261001</v>
      </c>
      <c r="I963" s="104" t="s">
        <v>593</v>
      </c>
      <c r="J963" s="40">
        <v>60000</v>
      </c>
      <c r="K963" s="40">
        <v>60000</v>
      </c>
      <c r="L963" s="40">
        <v>60000</v>
      </c>
      <c r="M963" s="40">
        <v>60000</v>
      </c>
      <c r="N963" s="1">
        <f>Tabla6[[#This Row],[TRIMESTRE  I]]+Tabla6[[#This Row],[TRIMESTRE II]]+Tabla6[[#This Row],[TRIMESTRE III]]+Tabla6[[#This Row],[TRIMESTRE IV]]</f>
        <v>240000</v>
      </c>
      <c r="O963" s="39" t="s">
        <v>5</v>
      </c>
      <c r="P963" s="79">
        <v>45291</v>
      </c>
      <c r="Q963" s="59" t="s">
        <v>581</v>
      </c>
    </row>
    <row r="964" spans="2:17" ht="24" x14ac:dyDescent="0.2">
      <c r="B964" s="34">
        <v>7021116</v>
      </c>
      <c r="C964" s="35" t="s">
        <v>578</v>
      </c>
      <c r="D964" s="36">
        <v>530</v>
      </c>
      <c r="E964" s="101" t="s">
        <v>588</v>
      </c>
      <c r="F964" s="102" t="s">
        <v>589</v>
      </c>
      <c r="G964" s="102" t="s">
        <v>458</v>
      </c>
      <c r="H964" s="103">
        <v>323001</v>
      </c>
      <c r="I964" s="104" t="s">
        <v>594</v>
      </c>
      <c r="J964" s="40">
        <v>56616</v>
      </c>
      <c r="K964" s="40">
        <v>56616</v>
      </c>
      <c r="L964" s="40">
        <v>56616</v>
      </c>
      <c r="M964" s="40">
        <v>56616</v>
      </c>
      <c r="N964" s="1">
        <f>Tabla6[[#This Row],[TRIMESTRE  I]]+Tabla6[[#This Row],[TRIMESTRE II]]+Tabla6[[#This Row],[TRIMESTRE III]]+Tabla6[[#This Row],[TRIMESTRE IV]]</f>
        <v>226464</v>
      </c>
      <c r="O964" s="39" t="s">
        <v>5</v>
      </c>
      <c r="P964" s="79">
        <v>45291</v>
      </c>
      <c r="Q964" s="59" t="s">
        <v>581</v>
      </c>
    </row>
    <row r="965" spans="2:17" ht="24" x14ac:dyDescent="0.2">
      <c r="B965" s="34">
        <v>7021116</v>
      </c>
      <c r="C965" s="35" t="s">
        <v>578</v>
      </c>
      <c r="D965" s="36">
        <v>530</v>
      </c>
      <c r="E965" s="101" t="s">
        <v>588</v>
      </c>
      <c r="F965" s="102" t="s">
        <v>589</v>
      </c>
      <c r="G965" s="102" t="s">
        <v>458</v>
      </c>
      <c r="H965" s="103">
        <v>352001</v>
      </c>
      <c r="I965" s="104" t="s">
        <v>595</v>
      </c>
      <c r="J965" s="40">
        <v>5541.75</v>
      </c>
      <c r="K965" s="40">
        <v>5541.75</v>
      </c>
      <c r="L965" s="40">
        <v>5541.75</v>
      </c>
      <c r="M965" s="40">
        <v>5541.75</v>
      </c>
      <c r="N965" s="1">
        <f>Tabla6[[#This Row],[TRIMESTRE  I]]+Tabla6[[#This Row],[TRIMESTRE II]]+Tabla6[[#This Row],[TRIMESTRE III]]+Tabla6[[#This Row],[TRIMESTRE IV]]</f>
        <v>22167</v>
      </c>
      <c r="O965" s="39" t="s">
        <v>6</v>
      </c>
      <c r="P965" s="79">
        <v>45291</v>
      </c>
      <c r="Q965" s="59" t="s">
        <v>583</v>
      </c>
    </row>
    <row r="966" spans="2:17" ht="36" x14ac:dyDescent="0.2">
      <c r="B966" s="34">
        <v>7021116</v>
      </c>
      <c r="C966" s="35" t="s">
        <v>578</v>
      </c>
      <c r="D966" s="36">
        <v>530</v>
      </c>
      <c r="E966" s="101" t="s">
        <v>588</v>
      </c>
      <c r="F966" s="102" t="s">
        <v>589</v>
      </c>
      <c r="G966" s="102" t="s">
        <v>458</v>
      </c>
      <c r="H966" s="103">
        <v>355001</v>
      </c>
      <c r="I966" s="104" t="s">
        <v>596</v>
      </c>
      <c r="J966" s="40">
        <v>14600</v>
      </c>
      <c r="K966" s="40">
        <v>14600</v>
      </c>
      <c r="L966" s="40">
        <v>14600</v>
      </c>
      <c r="M966" s="40">
        <v>14600</v>
      </c>
      <c r="N966" s="1">
        <f>Tabla6[[#This Row],[TRIMESTRE  I]]+Tabla6[[#This Row],[TRIMESTRE II]]+Tabla6[[#This Row],[TRIMESTRE III]]+Tabla6[[#This Row],[TRIMESTRE IV]]</f>
        <v>58400</v>
      </c>
      <c r="O966" s="39" t="s">
        <v>15</v>
      </c>
      <c r="P966" s="79">
        <v>45291</v>
      </c>
      <c r="Q966" s="59" t="s">
        <v>587</v>
      </c>
    </row>
    <row r="967" spans="2:17" ht="48" x14ac:dyDescent="0.2">
      <c r="B967" s="34">
        <v>702121</v>
      </c>
      <c r="C967" s="35" t="s">
        <v>578</v>
      </c>
      <c r="D967" s="36">
        <v>530</v>
      </c>
      <c r="E967" s="101" t="s">
        <v>588</v>
      </c>
      <c r="F967" s="102" t="s">
        <v>597</v>
      </c>
      <c r="G967" s="102" t="s">
        <v>461</v>
      </c>
      <c r="H967" s="103">
        <v>211001</v>
      </c>
      <c r="I967" s="104" t="s">
        <v>590</v>
      </c>
      <c r="J967" s="40">
        <v>3885</v>
      </c>
      <c r="K967" s="40">
        <v>3885</v>
      </c>
      <c r="L967" s="40">
        <v>3885</v>
      </c>
      <c r="M967" s="40">
        <v>3885</v>
      </c>
      <c r="N967" s="1">
        <f>Tabla6[[#This Row],[TRIMESTRE  I]]+Tabla6[[#This Row],[TRIMESTRE II]]+Tabla6[[#This Row],[TRIMESTRE III]]+Tabla6[[#This Row],[TRIMESTRE IV]]</f>
        <v>15540</v>
      </c>
      <c r="O967" s="39" t="s">
        <v>5</v>
      </c>
      <c r="P967" s="79">
        <v>45291</v>
      </c>
      <c r="Q967" s="59" t="s">
        <v>581</v>
      </c>
    </row>
    <row r="968" spans="2:17" ht="48" x14ac:dyDescent="0.2">
      <c r="B968" s="34">
        <v>702121</v>
      </c>
      <c r="C968" s="35" t="s">
        <v>578</v>
      </c>
      <c r="D968" s="36">
        <v>530</v>
      </c>
      <c r="E968" s="101" t="s">
        <v>588</v>
      </c>
      <c r="F968" s="102" t="s">
        <v>597</v>
      </c>
      <c r="G968" s="102" t="s">
        <v>461</v>
      </c>
      <c r="H968" s="103">
        <v>212001</v>
      </c>
      <c r="I968" s="104" t="s">
        <v>591</v>
      </c>
      <c r="J968" s="40">
        <v>2402</v>
      </c>
      <c r="K968" s="40">
        <v>2402</v>
      </c>
      <c r="L968" s="40">
        <v>2402</v>
      </c>
      <c r="M968" s="40">
        <v>2402</v>
      </c>
      <c r="N968" s="1">
        <f>Tabla6[[#This Row],[TRIMESTRE  I]]+Tabla6[[#This Row],[TRIMESTRE II]]+Tabla6[[#This Row],[TRIMESTRE III]]+Tabla6[[#This Row],[TRIMESTRE IV]]</f>
        <v>9608</v>
      </c>
      <c r="O968" s="39" t="s">
        <v>15</v>
      </c>
      <c r="P968" s="79">
        <v>45291</v>
      </c>
      <c r="Q968" s="59" t="s">
        <v>587</v>
      </c>
    </row>
    <row r="969" spans="2:17" ht="48" x14ac:dyDescent="0.2">
      <c r="B969" s="34">
        <v>702121</v>
      </c>
      <c r="C969" s="35" t="s">
        <v>578</v>
      </c>
      <c r="D969" s="36">
        <v>530</v>
      </c>
      <c r="E969" s="101" t="s">
        <v>588</v>
      </c>
      <c r="F969" s="102" t="s">
        <v>597</v>
      </c>
      <c r="G969" s="102" t="s">
        <v>461</v>
      </c>
      <c r="H969" s="103">
        <v>216001</v>
      </c>
      <c r="I969" s="104" t="s">
        <v>592</v>
      </c>
      <c r="J969" s="40">
        <v>1614.75</v>
      </c>
      <c r="K969" s="40">
        <v>1614.75</v>
      </c>
      <c r="L969" s="40">
        <v>1614.75</v>
      </c>
      <c r="M969" s="40">
        <v>1614.75</v>
      </c>
      <c r="N969" s="1">
        <f>Tabla6[[#This Row],[TRIMESTRE  I]]+Tabla6[[#This Row],[TRIMESTRE II]]+Tabla6[[#This Row],[TRIMESTRE III]]+Tabla6[[#This Row],[TRIMESTRE IV]]</f>
        <v>6459</v>
      </c>
      <c r="O969" s="39" t="s">
        <v>5</v>
      </c>
      <c r="P969" s="79">
        <v>45291</v>
      </c>
      <c r="Q969" s="59" t="s">
        <v>581</v>
      </c>
    </row>
    <row r="970" spans="2:17" ht="48" x14ac:dyDescent="0.2">
      <c r="B970" s="34">
        <v>702121</v>
      </c>
      <c r="C970" s="35" t="s">
        <v>578</v>
      </c>
      <c r="D970" s="36">
        <v>530</v>
      </c>
      <c r="E970" s="101" t="s">
        <v>588</v>
      </c>
      <c r="F970" s="102" t="s">
        <v>597</v>
      </c>
      <c r="G970" s="102" t="s">
        <v>461</v>
      </c>
      <c r="H970" s="103">
        <v>261001</v>
      </c>
      <c r="I970" s="104" t="s">
        <v>593</v>
      </c>
      <c r="J970" s="40">
        <v>157752.75</v>
      </c>
      <c r="K970" s="40">
        <v>157752.75</v>
      </c>
      <c r="L970" s="40">
        <v>157752.75</v>
      </c>
      <c r="M970" s="40">
        <v>157752.75</v>
      </c>
      <c r="N970" s="1">
        <f>Tabla6[[#This Row],[TRIMESTRE  I]]+Tabla6[[#This Row],[TRIMESTRE II]]+Tabla6[[#This Row],[TRIMESTRE III]]+Tabla6[[#This Row],[TRIMESTRE IV]]</f>
        <v>631011</v>
      </c>
      <c r="O970" s="39" t="s">
        <v>5</v>
      </c>
      <c r="P970" s="79">
        <v>45291</v>
      </c>
      <c r="Q970" s="59" t="s">
        <v>581</v>
      </c>
    </row>
    <row r="971" spans="2:17" ht="48" x14ac:dyDescent="0.2">
      <c r="B971" s="34">
        <v>702121</v>
      </c>
      <c r="C971" s="35" t="s">
        <v>578</v>
      </c>
      <c r="D971" s="36">
        <v>530</v>
      </c>
      <c r="E971" s="101" t="s">
        <v>588</v>
      </c>
      <c r="F971" s="102" t="s">
        <v>597</v>
      </c>
      <c r="G971" s="102" t="s">
        <v>458</v>
      </c>
      <c r="H971" s="103">
        <v>352001</v>
      </c>
      <c r="I971" s="104" t="s">
        <v>595</v>
      </c>
      <c r="J971" s="40">
        <v>7118.75</v>
      </c>
      <c r="K971" s="40">
        <v>7118.75</v>
      </c>
      <c r="L971" s="40">
        <v>7118.75</v>
      </c>
      <c r="M971" s="40">
        <v>7118.75</v>
      </c>
      <c r="N971" s="1">
        <f>Tabla6[[#This Row],[TRIMESTRE  I]]+Tabla6[[#This Row],[TRIMESTRE II]]+Tabla6[[#This Row],[TRIMESTRE III]]+Tabla6[[#This Row],[TRIMESTRE IV]]</f>
        <v>28475</v>
      </c>
      <c r="O971" s="39" t="s">
        <v>6</v>
      </c>
      <c r="P971" s="79">
        <v>45291</v>
      </c>
      <c r="Q971" s="59" t="s">
        <v>598</v>
      </c>
    </row>
    <row r="972" spans="2:17" ht="48" x14ac:dyDescent="0.2">
      <c r="B972" s="34">
        <v>702121</v>
      </c>
      <c r="C972" s="35" t="s">
        <v>578</v>
      </c>
      <c r="D972" s="36">
        <v>530</v>
      </c>
      <c r="E972" s="101" t="s">
        <v>588</v>
      </c>
      <c r="F972" s="102" t="s">
        <v>597</v>
      </c>
      <c r="G972" s="102" t="s">
        <v>458</v>
      </c>
      <c r="H972" s="103">
        <v>355001</v>
      </c>
      <c r="I972" s="104" t="s">
        <v>596</v>
      </c>
      <c r="J972" s="40">
        <v>24291.5</v>
      </c>
      <c r="K972" s="40">
        <v>24291.5</v>
      </c>
      <c r="L972" s="40">
        <v>24291.5</v>
      </c>
      <c r="M972" s="40">
        <v>24291.5</v>
      </c>
      <c r="N972" s="1">
        <f>Tabla6[[#This Row],[TRIMESTRE  I]]+Tabla6[[#This Row],[TRIMESTRE II]]+Tabla6[[#This Row],[TRIMESTRE III]]+Tabla6[[#This Row],[TRIMESTRE IV]]</f>
        <v>97166</v>
      </c>
      <c r="O972" s="39" t="s">
        <v>15</v>
      </c>
      <c r="P972" s="79">
        <v>45291</v>
      </c>
      <c r="Q972" s="59" t="s">
        <v>587</v>
      </c>
    </row>
    <row r="973" spans="2:17" ht="48" x14ac:dyDescent="0.2">
      <c r="B973" s="34">
        <v>702121</v>
      </c>
      <c r="C973" s="35" t="s">
        <v>578</v>
      </c>
      <c r="D973" s="36">
        <v>530</v>
      </c>
      <c r="E973" s="101" t="str">
        <f>IF(D973&lt;=0,"",VLOOKUP(D973,[6]FF!A:D,2,0))</f>
        <v>PARTICIPACIONES Ramo 28</v>
      </c>
      <c r="F973" s="102" t="s">
        <v>597</v>
      </c>
      <c r="G973" s="102" t="s">
        <v>458</v>
      </c>
      <c r="H973" s="103">
        <v>371001</v>
      </c>
      <c r="I973" s="104" t="str">
        <f>IF(H973&lt;=0,"",VLOOKUP(H973,[6]COG!A:H,2,0))</f>
        <v>Pasajes aéreos</v>
      </c>
      <c r="J973" s="40">
        <v>26549.5</v>
      </c>
      <c r="K973" s="40">
        <v>26549.5</v>
      </c>
      <c r="L973" s="40">
        <v>26549.5</v>
      </c>
      <c r="M973" s="40">
        <v>26549.5</v>
      </c>
      <c r="N973" s="1">
        <f>Tabla6[[#This Row],[TRIMESTRE  I]]+Tabla6[[#This Row],[TRIMESTRE II]]+Tabla6[[#This Row],[TRIMESTRE III]]+Tabla6[[#This Row],[TRIMESTRE IV]]</f>
        <v>106198</v>
      </c>
      <c r="O973" s="39" t="s">
        <v>5</v>
      </c>
      <c r="P973" s="79">
        <v>45291</v>
      </c>
      <c r="Q973" s="59" t="s">
        <v>581</v>
      </c>
    </row>
    <row r="974" spans="2:17" ht="72" x14ac:dyDescent="0.2">
      <c r="B974" s="34">
        <v>703124</v>
      </c>
      <c r="C974" s="35" t="s">
        <v>599</v>
      </c>
      <c r="D974" s="36">
        <v>530</v>
      </c>
      <c r="E974" s="101" t="s">
        <v>588</v>
      </c>
      <c r="F974" s="102" t="s">
        <v>600</v>
      </c>
      <c r="G974" s="102" t="s">
        <v>461</v>
      </c>
      <c r="H974" s="103">
        <v>211001</v>
      </c>
      <c r="I974" s="104" t="s">
        <v>590</v>
      </c>
      <c r="J974" s="40">
        <v>1488.75</v>
      </c>
      <c r="K974" s="40">
        <v>1488.75</v>
      </c>
      <c r="L974" s="40">
        <v>1488.75</v>
      </c>
      <c r="M974" s="40">
        <v>1488.75</v>
      </c>
      <c r="N974" s="1">
        <f>Tabla6[[#This Row],[TRIMESTRE  I]]+Tabla6[[#This Row],[TRIMESTRE II]]+Tabla6[[#This Row],[TRIMESTRE III]]+Tabla6[[#This Row],[TRIMESTRE IV]]</f>
        <v>5955</v>
      </c>
      <c r="O974" s="39" t="s">
        <v>5</v>
      </c>
      <c r="P974" s="79">
        <v>45291</v>
      </c>
      <c r="Q974" s="59" t="s">
        <v>581</v>
      </c>
    </row>
    <row r="975" spans="2:17" ht="72" x14ac:dyDescent="0.2">
      <c r="B975" s="34">
        <v>703124</v>
      </c>
      <c r="C975" s="35" t="s">
        <v>599</v>
      </c>
      <c r="D975" s="36">
        <v>530</v>
      </c>
      <c r="E975" s="101" t="s">
        <v>588</v>
      </c>
      <c r="F975" s="102" t="s">
        <v>600</v>
      </c>
      <c r="G975" s="102" t="s">
        <v>461</v>
      </c>
      <c r="H975" s="103">
        <v>212001</v>
      </c>
      <c r="I975" s="104" t="s">
        <v>591</v>
      </c>
      <c r="J975" s="40">
        <v>2365.75</v>
      </c>
      <c r="K975" s="40">
        <v>2365.75</v>
      </c>
      <c r="L975" s="40">
        <v>2365.75</v>
      </c>
      <c r="M975" s="40">
        <v>2365.75</v>
      </c>
      <c r="N975" s="1">
        <f>Tabla6[[#This Row],[TRIMESTRE  I]]+Tabla6[[#This Row],[TRIMESTRE II]]+Tabla6[[#This Row],[TRIMESTRE III]]+Tabla6[[#This Row],[TRIMESTRE IV]]</f>
        <v>9463</v>
      </c>
      <c r="O975" s="39" t="s">
        <v>15</v>
      </c>
      <c r="P975" s="79">
        <v>45291</v>
      </c>
      <c r="Q975" s="59" t="s">
        <v>587</v>
      </c>
    </row>
    <row r="976" spans="2:17" ht="72" x14ac:dyDescent="0.2">
      <c r="B976" s="34">
        <v>703124</v>
      </c>
      <c r="C976" s="35" t="s">
        <v>599</v>
      </c>
      <c r="D976" s="36">
        <v>530</v>
      </c>
      <c r="E976" s="101" t="s">
        <v>588</v>
      </c>
      <c r="F976" s="102" t="s">
        <v>600</v>
      </c>
      <c r="G976" s="102" t="s">
        <v>461</v>
      </c>
      <c r="H976" s="103">
        <v>261001</v>
      </c>
      <c r="I976" s="104" t="s">
        <v>593</v>
      </c>
      <c r="J976" s="40">
        <v>20500</v>
      </c>
      <c r="K976" s="40">
        <v>20500</v>
      </c>
      <c r="L976" s="40">
        <v>20500</v>
      </c>
      <c r="M976" s="40">
        <v>20500</v>
      </c>
      <c r="N976" s="1">
        <f>Tabla6[[#This Row],[TRIMESTRE  I]]+Tabla6[[#This Row],[TRIMESTRE II]]+Tabla6[[#This Row],[TRIMESTRE III]]+Tabla6[[#This Row],[TRIMESTRE IV]]</f>
        <v>82000</v>
      </c>
      <c r="O976" s="39" t="s">
        <v>5</v>
      </c>
      <c r="P976" s="79">
        <v>45291</v>
      </c>
      <c r="Q976" s="59" t="s">
        <v>581</v>
      </c>
    </row>
    <row r="977" spans="2:17" ht="72" x14ac:dyDescent="0.2">
      <c r="B977" s="34">
        <v>703124</v>
      </c>
      <c r="C977" s="35" t="s">
        <v>599</v>
      </c>
      <c r="D977" s="36">
        <v>530</v>
      </c>
      <c r="E977" s="101" t="s">
        <v>588</v>
      </c>
      <c r="F977" s="102" t="s">
        <v>600</v>
      </c>
      <c r="G977" s="102" t="s">
        <v>458</v>
      </c>
      <c r="H977" s="103">
        <v>322001</v>
      </c>
      <c r="I977" s="104" t="s">
        <v>601</v>
      </c>
      <c r="J977" s="40">
        <v>15000</v>
      </c>
      <c r="K977" s="40">
        <v>15000</v>
      </c>
      <c r="L977" s="40">
        <v>15000</v>
      </c>
      <c r="M977" s="40">
        <v>15000</v>
      </c>
      <c r="N977" s="1">
        <f>Tabla6[[#This Row],[TRIMESTRE  I]]+Tabla6[[#This Row],[TRIMESTRE II]]+Tabla6[[#This Row],[TRIMESTRE III]]+Tabla6[[#This Row],[TRIMESTRE IV]]</f>
        <v>60000</v>
      </c>
      <c r="O977" s="39" t="s">
        <v>6</v>
      </c>
      <c r="P977" s="79">
        <v>45291</v>
      </c>
      <c r="Q977" s="59" t="s">
        <v>602</v>
      </c>
    </row>
    <row r="978" spans="2:17" ht="72" x14ac:dyDescent="0.2">
      <c r="B978" s="34">
        <v>703124</v>
      </c>
      <c r="C978" s="35" t="s">
        <v>599</v>
      </c>
      <c r="D978" s="36">
        <v>530</v>
      </c>
      <c r="E978" s="101" t="s">
        <v>588</v>
      </c>
      <c r="F978" s="102" t="s">
        <v>600</v>
      </c>
      <c r="G978" s="102" t="s">
        <v>458</v>
      </c>
      <c r="H978" s="103">
        <v>323001</v>
      </c>
      <c r="I978" s="104" t="s">
        <v>594</v>
      </c>
      <c r="J978" s="40">
        <v>18750</v>
      </c>
      <c r="K978" s="40">
        <v>18750</v>
      </c>
      <c r="L978" s="40">
        <v>18750</v>
      </c>
      <c r="M978" s="40">
        <v>18750</v>
      </c>
      <c r="N978" s="1">
        <f>Tabla6[[#This Row],[TRIMESTRE  I]]+Tabla6[[#This Row],[TRIMESTRE II]]+Tabla6[[#This Row],[TRIMESTRE III]]+Tabla6[[#This Row],[TRIMESTRE IV]]</f>
        <v>75000</v>
      </c>
      <c r="O978" s="39" t="s">
        <v>5</v>
      </c>
      <c r="P978" s="79">
        <v>45291</v>
      </c>
      <c r="Q978" s="59" t="s">
        <v>581</v>
      </c>
    </row>
    <row r="979" spans="2:17" ht="72" x14ac:dyDescent="0.2">
      <c r="B979" s="34">
        <v>703124</v>
      </c>
      <c r="C979" s="35" t="s">
        <v>599</v>
      </c>
      <c r="D979" s="36">
        <v>530</v>
      </c>
      <c r="E979" s="101" t="s">
        <v>588</v>
      </c>
      <c r="F979" s="102" t="s">
        <v>600</v>
      </c>
      <c r="G979" s="102" t="s">
        <v>458</v>
      </c>
      <c r="H979" s="103">
        <v>355001</v>
      </c>
      <c r="I979" s="104" t="s">
        <v>596</v>
      </c>
      <c r="J979" s="40">
        <v>2500</v>
      </c>
      <c r="K979" s="40">
        <v>2500</v>
      </c>
      <c r="L979" s="40">
        <v>2500</v>
      </c>
      <c r="M979" s="40">
        <v>2500</v>
      </c>
      <c r="N979" s="1">
        <f>Tabla6[[#This Row],[TRIMESTRE  I]]+Tabla6[[#This Row],[TRIMESTRE II]]+Tabla6[[#This Row],[TRIMESTRE III]]+Tabla6[[#This Row],[TRIMESTRE IV]]</f>
        <v>10000</v>
      </c>
      <c r="O979" s="39" t="s">
        <v>15</v>
      </c>
      <c r="P979" s="79">
        <v>45291</v>
      </c>
      <c r="Q979" s="59" t="s">
        <v>587</v>
      </c>
    </row>
    <row r="980" spans="2:17" ht="24" x14ac:dyDescent="0.2">
      <c r="B980" s="34">
        <v>703122</v>
      </c>
      <c r="C980" s="35" t="s">
        <v>599</v>
      </c>
      <c r="D980" s="36">
        <v>530</v>
      </c>
      <c r="E980" s="101" t="s">
        <v>588</v>
      </c>
      <c r="F980" s="102" t="s">
        <v>603</v>
      </c>
      <c r="G980" s="102" t="s">
        <v>461</v>
      </c>
      <c r="H980" s="103">
        <v>211001</v>
      </c>
      <c r="I980" s="104" t="s">
        <v>590</v>
      </c>
      <c r="J980" s="40">
        <v>1496.25</v>
      </c>
      <c r="K980" s="40">
        <v>1496.25</v>
      </c>
      <c r="L980" s="40">
        <v>1496.25</v>
      </c>
      <c r="M980" s="40">
        <v>1496.25</v>
      </c>
      <c r="N980" s="1">
        <f>Tabla6[[#This Row],[TRIMESTRE  I]]+Tabla6[[#This Row],[TRIMESTRE II]]+Tabla6[[#This Row],[TRIMESTRE III]]+Tabla6[[#This Row],[TRIMESTRE IV]]</f>
        <v>5985</v>
      </c>
      <c r="O980" s="39" t="s">
        <v>5</v>
      </c>
      <c r="P980" s="79">
        <v>45291</v>
      </c>
      <c r="Q980" s="59" t="s">
        <v>581</v>
      </c>
    </row>
    <row r="981" spans="2:17" ht="24" x14ac:dyDescent="0.2">
      <c r="B981" s="34">
        <v>703122</v>
      </c>
      <c r="C981" s="35" t="s">
        <v>599</v>
      </c>
      <c r="D981" s="36">
        <v>530</v>
      </c>
      <c r="E981" s="101" t="s">
        <v>588</v>
      </c>
      <c r="F981" s="102" t="s">
        <v>603</v>
      </c>
      <c r="G981" s="102" t="s">
        <v>461</v>
      </c>
      <c r="H981" s="103">
        <v>261001</v>
      </c>
      <c r="I981" s="104" t="s">
        <v>593</v>
      </c>
      <c r="J981" s="40">
        <v>65790</v>
      </c>
      <c r="K981" s="40">
        <v>65790</v>
      </c>
      <c r="L981" s="40">
        <v>65790</v>
      </c>
      <c r="M981" s="40">
        <v>65790</v>
      </c>
      <c r="N981" s="1">
        <f>Tabla6[[#This Row],[TRIMESTRE  I]]+Tabla6[[#This Row],[TRIMESTRE II]]+Tabla6[[#This Row],[TRIMESTRE III]]+Tabla6[[#This Row],[TRIMESTRE IV]]</f>
        <v>263160</v>
      </c>
      <c r="O981" s="39" t="s">
        <v>5</v>
      </c>
      <c r="P981" s="79">
        <v>45291</v>
      </c>
      <c r="Q981" s="59" t="s">
        <v>581</v>
      </c>
    </row>
    <row r="982" spans="2:17" ht="24" x14ac:dyDescent="0.2">
      <c r="B982" s="34">
        <v>703122</v>
      </c>
      <c r="C982" s="35" t="s">
        <v>599</v>
      </c>
      <c r="D982" s="36">
        <v>530</v>
      </c>
      <c r="E982" s="101" t="s">
        <v>588</v>
      </c>
      <c r="F982" s="102" t="s">
        <v>603</v>
      </c>
      <c r="G982" s="102" t="s">
        <v>458</v>
      </c>
      <c r="H982" s="103">
        <v>352001</v>
      </c>
      <c r="I982" s="104" t="s">
        <v>595</v>
      </c>
      <c r="J982" s="40">
        <v>2124.75</v>
      </c>
      <c r="K982" s="40">
        <v>2124.75</v>
      </c>
      <c r="L982" s="40">
        <v>2124.75</v>
      </c>
      <c r="M982" s="40">
        <v>2124.75</v>
      </c>
      <c r="N982" s="1">
        <f>Tabla6[[#This Row],[TRIMESTRE  I]]+Tabla6[[#This Row],[TRIMESTRE II]]+Tabla6[[#This Row],[TRIMESTRE III]]+Tabla6[[#This Row],[TRIMESTRE IV]]</f>
        <v>8499</v>
      </c>
      <c r="O982" s="39" t="s">
        <v>6</v>
      </c>
      <c r="P982" s="79">
        <v>45291</v>
      </c>
      <c r="Q982" s="59" t="s">
        <v>602</v>
      </c>
    </row>
    <row r="983" spans="2:17" ht="36" x14ac:dyDescent="0.2">
      <c r="B983" s="34">
        <v>703122</v>
      </c>
      <c r="C983" s="35" t="s">
        <v>599</v>
      </c>
      <c r="D983" s="36">
        <v>530</v>
      </c>
      <c r="E983" s="101" t="s">
        <v>588</v>
      </c>
      <c r="F983" s="102" t="s">
        <v>603</v>
      </c>
      <c r="G983" s="102" t="s">
        <v>458</v>
      </c>
      <c r="H983" s="103">
        <v>355001</v>
      </c>
      <c r="I983" s="104" t="s">
        <v>596</v>
      </c>
      <c r="J983" s="40">
        <v>7585.5</v>
      </c>
      <c r="K983" s="40">
        <v>7585.5</v>
      </c>
      <c r="L983" s="40">
        <v>7585.5</v>
      </c>
      <c r="M983" s="40">
        <v>7585.5</v>
      </c>
      <c r="N983" s="1">
        <f>Tabla6[[#This Row],[TRIMESTRE  I]]+Tabla6[[#This Row],[TRIMESTRE II]]+Tabla6[[#This Row],[TRIMESTRE III]]+Tabla6[[#This Row],[TRIMESTRE IV]]</f>
        <v>30342</v>
      </c>
      <c r="O983" s="39" t="s">
        <v>15</v>
      </c>
      <c r="P983" s="79">
        <v>45291</v>
      </c>
      <c r="Q983" s="59" t="s">
        <v>587</v>
      </c>
    </row>
    <row r="984" spans="2:17" ht="24" x14ac:dyDescent="0.2">
      <c r="B984" s="34">
        <v>703122</v>
      </c>
      <c r="C984" s="35" t="s">
        <v>599</v>
      </c>
      <c r="D984" s="36">
        <v>530</v>
      </c>
      <c r="E984" s="101" t="str">
        <f>IF(D984&lt;=0,"",VLOOKUP(D984,[6]FF!A:D,2,0))</f>
        <v>PARTICIPACIONES Ramo 28</v>
      </c>
      <c r="F984" s="102" t="s">
        <v>603</v>
      </c>
      <c r="G984" s="102" t="s">
        <v>458</v>
      </c>
      <c r="H984" s="103">
        <v>371001</v>
      </c>
      <c r="I984" s="104" t="str">
        <f>IF(H984&lt;=0,"",VLOOKUP(H984,[6]COG!A:H,2,0))</f>
        <v>Pasajes aéreos</v>
      </c>
      <c r="J984" s="40">
        <v>5363.25</v>
      </c>
      <c r="K984" s="40">
        <v>5363.25</v>
      </c>
      <c r="L984" s="40">
        <v>5363.25</v>
      </c>
      <c r="M984" s="40">
        <v>5363.25</v>
      </c>
      <c r="N984" s="1">
        <f>Tabla6[[#This Row],[TRIMESTRE  I]]+Tabla6[[#This Row],[TRIMESTRE II]]+Tabla6[[#This Row],[TRIMESTRE III]]+Tabla6[[#This Row],[TRIMESTRE IV]]</f>
        <v>21453</v>
      </c>
      <c r="O984" s="39" t="s">
        <v>5</v>
      </c>
      <c r="P984" s="79">
        <v>45291</v>
      </c>
      <c r="Q984" s="59" t="s">
        <v>581</v>
      </c>
    </row>
    <row r="985" spans="2:17" ht="24" x14ac:dyDescent="0.2">
      <c r="B985" s="34">
        <v>703123</v>
      </c>
      <c r="C985" s="35" t="s">
        <v>578</v>
      </c>
      <c r="D985" s="36">
        <v>530</v>
      </c>
      <c r="E985" s="101" t="s">
        <v>588</v>
      </c>
      <c r="F985" s="102" t="s">
        <v>604</v>
      </c>
      <c r="G985" s="102" t="s">
        <v>461</v>
      </c>
      <c r="H985" s="103">
        <v>211001</v>
      </c>
      <c r="I985" s="104" t="s">
        <v>590</v>
      </c>
      <c r="J985" s="40">
        <v>2586.5</v>
      </c>
      <c r="K985" s="40">
        <v>2586.5</v>
      </c>
      <c r="L985" s="40">
        <v>2586.5</v>
      </c>
      <c r="M985" s="40">
        <v>2586.5</v>
      </c>
      <c r="N985" s="1">
        <f>Tabla6[[#This Row],[TRIMESTRE  I]]+Tabla6[[#This Row],[TRIMESTRE II]]+Tabla6[[#This Row],[TRIMESTRE III]]+Tabla6[[#This Row],[TRIMESTRE IV]]</f>
        <v>10346</v>
      </c>
      <c r="O985" s="39" t="s">
        <v>5</v>
      </c>
      <c r="P985" s="79">
        <v>45291</v>
      </c>
      <c r="Q985" s="59" t="s">
        <v>581</v>
      </c>
    </row>
    <row r="986" spans="2:17" ht="24" x14ac:dyDescent="0.2">
      <c r="B986" s="34">
        <v>703123</v>
      </c>
      <c r="C986" s="35" t="s">
        <v>578</v>
      </c>
      <c r="D986" s="36">
        <v>530</v>
      </c>
      <c r="E986" s="101" t="s">
        <v>588</v>
      </c>
      <c r="F986" s="102" t="s">
        <v>604</v>
      </c>
      <c r="G986" s="102" t="s">
        <v>461</v>
      </c>
      <c r="H986" s="103">
        <v>212001</v>
      </c>
      <c r="I986" s="104" t="s">
        <v>591</v>
      </c>
      <c r="J986" s="40">
        <v>2787.75</v>
      </c>
      <c r="K986" s="40">
        <v>2787.75</v>
      </c>
      <c r="L986" s="40">
        <v>2787.75</v>
      </c>
      <c r="M986" s="40">
        <v>2787.75</v>
      </c>
      <c r="N986" s="1">
        <f>Tabla6[[#This Row],[TRIMESTRE  I]]+Tabla6[[#This Row],[TRIMESTRE II]]+Tabla6[[#This Row],[TRIMESTRE III]]+Tabla6[[#This Row],[TRIMESTRE IV]]</f>
        <v>11151</v>
      </c>
      <c r="O986" s="39" t="s">
        <v>15</v>
      </c>
      <c r="P986" s="79">
        <v>45291</v>
      </c>
      <c r="Q986" s="59" t="s">
        <v>587</v>
      </c>
    </row>
    <row r="987" spans="2:17" ht="24" x14ac:dyDescent="0.2">
      <c r="B987" s="34">
        <v>703123</v>
      </c>
      <c r="C987" s="35" t="s">
        <v>578</v>
      </c>
      <c r="D987" s="36">
        <v>530</v>
      </c>
      <c r="E987" s="101" t="str">
        <f>IF(D987&lt;=0,"",VLOOKUP(D987,[6]FF!A:D,2,0))</f>
        <v>PARTICIPACIONES Ramo 28</v>
      </c>
      <c r="F987" s="102" t="s">
        <v>604</v>
      </c>
      <c r="G987" s="102" t="s">
        <v>458</v>
      </c>
      <c r="H987" s="103">
        <v>371001</v>
      </c>
      <c r="I987" s="104" t="str">
        <f>IF(H987&lt;=0,"",VLOOKUP(H987,[6]COG!A:H,2,0))</f>
        <v>Pasajes aéreos</v>
      </c>
      <c r="J987" s="40">
        <v>4250.25</v>
      </c>
      <c r="K987" s="40">
        <v>4250.25</v>
      </c>
      <c r="L987" s="40">
        <v>4250.25</v>
      </c>
      <c r="M987" s="40">
        <v>4250.25</v>
      </c>
      <c r="N987" s="1">
        <f>Tabla6[[#This Row],[TRIMESTRE  I]]+Tabla6[[#This Row],[TRIMESTRE II]]+Tabla6[[#This Row],[TRIMESTRE III]]+Tabla6[[#This Row],[TRIMESTRE IV]]</f>
        <v>17001</v>
      </c>
      <c r="O987" s="39" t="s">
        <v>5</v>
      </c>
      <c r="P987" s="79">
        <v>45291</v>
      </c>
      <c r="Q987" s="59" t="s">
        <v>581</v>
      </c>
    </row>
    <row r="988" spans="2:17" ht="24" x14ac:dyDescent="0.2">
      <c r="B988" s="34">
        <v>704125</v>
      </c>
      <c r="C988" s="35" t="s">
        <v>605</v>
      </c>
      <c r="D988" s="36">
        <v>530</v>
      </c>
      <c r="E988" s="101" t="s">
        <v>588</v>
      </c>
      <c r="F988" s="102" t="s">
        <v>606</v>
      </c>
      <c r="G988" s="102" t="s">
        <v>461</v>
      </c>
      <c r="H988" s="103">
        <v>211001</v>
      </c>
      <c r="I988" s="104" t="s">
        <v>590</v>
      </c>
      <c r="J988" s="40">
        <v>8774</v>
      </c>
      <c r="K988" s="40">
        <v>8774</v>
      </c>
      <c r="L988" s="40">
        <v>8774</v>
      </c>
      <c r="M988" s="40">
        <v>8774</v>
      </c>
      <c r="N988" s="1">
        <f>Tabla6[[#This Row],[TRIMESTRE  I]]+Tabla6[[#This Row],[TRIMESTRE II]]+Tabla6[[#This Row],[TRIMESTRE III]]+Tabla6[[#This Row],[TRIMESTRE IV]]</f>
        <v>35096</v>
      </c>
      <c r="O988" s="39" t="s">
        <v>5</v>
      </c>
      <c r="P988" s="79">
        <v>45291</v>
      </c>
      <c r="Q988" s="59" t="s">
        <v>581</v>
      </c>
    </row>
    <row r="989" spans="2:17" ht="24" x14ac:dyDescent="0.2">
      <c r="B989" s="34">
        <v>704125</v>
      </c>
      <c r="C989" s="35" t="s">
        <v>605</v>
      </c>
      <c r="D989" s="36">
        <v>530</v>
      </c>
      <c r="E989" s="101" t="s">
        <v>588</v>
      </c>
      <c r="F989" s="102" t="s">
        <v>606</v>
      </c>
      <c r="G989" s="102" t="s">
        <v>461</v>
      </c>
      <c r="H989" s="103">
        <v>216001</v>
      </c>
      <c r="I989" s="104" t="s">
        <v>592</v>
      </c>
      <c r="J989" s="40">
        <v>5349</v>
      </c>
      <c r="K989" s="40">
        <v>5349</v>
      </c>
      <c r="L989" s="40">
        <v>5349</v>
      </c>
      <c r="M989" s="40">
        <v>5349</v>
      </c>
      <c r="N989" s="1">
        <f>Tabla6[[#This Row],[TRIMESTRE  I]]+Tabla6[[#This Row],[TRIMESTRE II]]+Tabla6[[#This Row],[TRIMESTRE III]]+Tabla6[[#This Row],[TRIMESTRE IV]]</f>
        <v>21396</v>
      </c>
      <c r="O989" s="39" t="s">
        <v>5</v>
      </c>
      <c r="P989" s="79">
        <v>45291</v>
      </c>
      <c r="Q989" s="59" t="s">
        <v>581</v>
      </c>
    </row>
    <row r="990" spans="2:17" ht="24" x14ac:dyDescent="0.2">
      <c r="B990" s="34">
        <v>704125</v>
      </c>
      <c r="C990" s="35" t="s">
        <v>605</v>
      </c>
      <c r="D990" s="36">
        <v>530</v>
      </c>
      <c r="E990" s="101" t="s">
        <v>588</v>
      </c>
      <c r="F990" s="102" t="s">
        <v>606</v>
      </c>
      <c r="G990" s="102" t="s">
        <v>461</v>
      </c>
      <c r="H990" s="103">
        <v>261001</v>
      </c>
      <c r="I990" s="104" t="s">
        <v>593</v>
      </c>
      <c r="J990" s="40">
        <v>21607</v>
      </c>
      <c r="K990" s="40">
        <v>21607</v>
      </c>
      <c r="L990" s="40">
        <v>21607</v>
      </c>
      <c r="M990" s="40">
        <v>21607</v>
      </c>
      <c r="N990" s="1">
        <f>Tabla6[[#This Row],[TRIMESTRE  I]]+Tabla6[[#This Row],[TRIMESTRE II]]+Tabla6[[#This Row],[TRIMESTRE III]]+Tabla6[[#This Row],[TRIMESTRE IV]]</f>
        <v>86428</v>
      </c>
      <c r="O990" s="39" t="s">
        <v>5</v>
      </c>
      <c r="P990" s="79">
        <v>45291</v>
      </c>
      <c r="Q990" s="59" t="s">
        <v>581</v>
      </c>
    </row>
    <row r="991" spans="2:17" ht="36" x14ac:dyDescent="0.2">
      <c r="B991" s="34">
        <v>704125</v>
      </c>
      <c r="C991" s="35" t="s">
        <v>605</v>
      </c>
      <c r="D991" s="36">
        <v>530</v>
      </c>
      <c r="E991" s="101" t="s">
        <v>588</v>
      </c>
      <c r="F991" s="102" t="s">
        <v>606</v>
      </c>
      <c r="G991" s="102" t="s">
        <v>458</v>
      </c>
      <c r="H991" s="103">
        <v>355001</v>
      </c>
      <c r="I991" s="104" t="s">
        <v>596</v>
      </c>
      <c r="J991" s="40">
        <v>4500</v>
      </c>
      <c r="K991" s="40">
        <v>4500</v>
      </c>
      <c r="L991" s="40">
        <v>4500</v>
      </c>
      <c r="M991" s="40">
        <v>4500</v>
      </c>
      <c r="N991" s="1">
        <f>Tabla6[[#This Row],[TRIMESTRE  I]]+Tabla6[[#This Row],[TRIMESTRE II]]+Tabla6[[#This Row],[TRIMESTRE III]]+Tabla6[[#This Row],[TRIMESTRE IV]]</f>
        <v>18000</v>
      </c>
      <c r="O991" s="39" t="s">
        <v>15</v>
      </c>
      <c r="P991" s="79">
        <v>45291</v>
      </c>
      <c r="Q991" s="59" t="s">
        <v>587</v>
      </c>
    </row>
    <row r="992" spans="2:17" ht="24" x14ac:dyDescent="0.2">
      <c r="B992" s="46">
        <v>704125</v>
      </c>
      <c r="C992" s="47" t="s">
        <v>605</v>
      </c>
      <c r="D992" s="48">
        <v>530</v>
      </c>
      <c r="E992" s="101" t="str">
        <f>IF(D992&lt;=0,"",VLOOKUP(D992,[6]FF!A:D,2,0))</f>
        <v>PARTICIPACIONES Ramo 28</v>
      </c>
      <c r="F992" s="102" t="s">
        <v>606</v>
      </c>
      <c r="G992" s="102" t="s">
        <v>458</v>
      </c>
      <c r="H992" s="103"/>
      <c r="I992" s="104" t="s">
        <v>607</v>
      </c>
      <c r="J992" s="40">
        <v>4143.75</v>
      </c>
      <c r="K992" s="40">
        <v>4143.75</v>
      </c>
      <c r="L992" s="40">
        <v>4143.75</v>
      </c>
      <c r="M992" s="40">
        <v>4143.75</v>
      </c>
      <c r="N992" s="1">
        <f>Tabla6[[#This Row],[TRIMESTRE  I]]+Tabla6[[#This Row],[TRIMESTRE II]]+Tabla6[[#This Row],[TRIMESTRE III]]+Tabla6[[#This Row],[TRIMESTRE IV]]</f>
        <v>16575</v>
      </c>
      <c r="O992" s="39" t="s">
        <v>5</v>
      </c>
      <c r="P992" s="39" t="s">
        <v>608</v>
      </c>
      <c r="Q992" s="59" t="s">
        <v>581</v>
      </c>
    </row>
    <row r="993" spans="2:17" ht="24" x14ac:dyDescent="0.2">
      <c r="B993" s="34">
        <v>704126</v>
      </c>
      <c r="C993" s="35" t="s">
        <v>609</v>
      </c>
      <c r="D993" s="36">
        <v>530</v>
      </c>
      <c r="E993" s="101" t="s">
        <v>588</v>
      </c>
      <c r="F993" s="102" t="s">
        <v>610</v>
      </c>
      <c r="G993" s="102" t="s">
        <v>461</v>
      </c>
      <c r="H993" s="103">
        <v>211001</v>
      </c>
      <c r="I993" s="104" t="s">
        <v>590</v>
      </c>
      <c r="J993" s="40">
        <v>3727.75</v>
      </c>
      <c r="K993" s="40">
        <v>3727.75</v>
      </c>
      <c r="L993" s="40">
        <v>3727.75</v>
      </c>
      <c r="M993" s="40">
        <v>3727.75</v>
      </c>
      <c r="N993" s="1">
        <f>Tabla6[[#This Row],[TRIMESTRE  I]]+Tabla6[[#This Row],[TRIMESTRE II]]+Tabla6[[#This Row],[TRIMESTRE III]]+Tabla6[[#This Row],[TRIMESTRE IV]]</f>
        <v>14911</v>
      </c>
      <c r="O993" s="39" t="s">
        <v>5</v>
      </c>
      <c r="P993" s="79">
        <v>45291</v>
      </c>
      <c r="Q993" s="59" t="s">
        <v>581</v>
      </c>
    </row>
    <row r="994" spans="2:17" ht="24" x14ac:dyDescent="0.2">
      <c r="B994" s="34">
        <v>704126</v>
      </c>
      <c r="C994" s="35" t="s">
        <v>609</v>
      </c>
      <c r="D994" s="36">
        <v>530</v>
      </c>
      <c r="E994" s="101" t="s">
        <v>588</v>
      </c>
      <c r="F994" s="102" t="s">
        <v>610</v>
      </c>
      <c r="G994" s="102" t="s">
        <v>461</v>
      </c>
      <c r="H994" s="103">
        <v>216001</v>
      </c>
      <c r="I994" s="104" t="s">
        <v>592</v>
      </c>
      <c r="J994" s="40">
        <v>782.25</v>
      </c>
      <c r="K994" s="40">
        <v>782.25</v>
      </c>
      <c r="L994" s="40">
        <v>782.25</v>
      </c>
      <c r="M994" s="40">
        <v>782.25</v>
      </c>
      <c r="N994" s="1">
        <f>Tabla6[[#This Row],[TRIMESTRE  I]]+Tabla6[[#This Row],[TRIMESTRE II]]+Tabla6[[#This Row],[TRIMESTRE III]]+Tabla6[[#This Row],[TRIMESTRE IV]]</f>
        <v>3129</v>
      </c>
      <c r="O994" s="39" t="s">
        <v>5</v>
      </c>
      <c r="P994" s="79">
        <v>45291</v>
      </c>
      <c r="Q994" s="59" t="s">
        <v>581</v>
      </c>
    </row>
    <row r="995" spans="2:17" ht="24" x14ac:dyDescent="0.2">
      <c r="B995" s="34">
        <v>704126</v>
      </c>
      <c r="C995" s="35" t="s">
        <v>609</v>
      </c>
      <c r="D995" s="36">
        <v>530</v>
      </c>
      <c r="E995" s="101" t="s">
        <v>588</v>
      </c>
      <c r="F995" s="102" t="s">
        <v>610</v>
      </c>
      <c r="G995" s="102" t="s">
        <v>461</v>
      </c>
      <c r="H995" s="103">
        <v>261001</v>
      </c>
      <c r="I995" s="104" t="s">
        <v>593</v>
      </c>
      <c r="J995" s="40">
        <v>15139.5</v>
      </c>
      <c r="K995" s="40">
        <v>15139.5</v>
      </c>
      <c r="L995" s="40">
        <v>15139.5</v>
      </c>
      <c r="M995" s="40">
        <v>15139.5</v>
      </c>
      <c r="N995" s="1">
        <f>Tabla6[[#This Row],[TRIMESTRE  I]]+Tabla6[[#This Row],[TRIMESTRE II]]+Tabla6[[#This Row],[TRIMESTRE III]]+Tabla6[[#This Row],[TRIMESTRE IV]]</f>
        <v>60558</v>
      </c>
      <c r="O995" s="39" t="s">
        <v>5</v>
      </c>
      <c r="P995" s="79">
        <v>45291</v>
      </c>
      <c r="Q995" s="59" t="s">
        <v>581</v>
      </c>
    </row>
    <row r="996" spans="2:17" ht="24" x14ac:dyDescent="0.2">
      <c r="B996" s="34">
        <v>704126</v>
      </c>
      <c r="C996" s="35" t="s">
        <v>609</v>
      </c>
      <c r="D996" s="36">
        <v>530</v>
      </c>
      <c r="E996" s="101" t="s">
        <v>588</v>
      </c>
      <c r="F996" s="102" t="s">
        <v>610</v>
      </c>
      <c r="G996" s="102" t="s">
        <v>458</v>
      </c>
      <c r="H996" s="103">
        <v>351001</v>
      </c>
      <c r="I996" s="104" t="s">
        <v>611</v>
      </c>
      <c r="J996" s="40">
        <v>1638</v>
      </c>
      <c r="K996" s="40">
        <v>1638</v>
      </c>
      <c r="L996" s="40">
        <v>1638</v>
      </c>
      <c r="M996" s="40">
        <v>1638</v>
      </c>
      <c r="N996" s="1">
        <f>Tabla6[[#This Row],[TRIMESTRE  I]]+Tabla6[[#This Row],[TRIMESTRE II]]+Tabla6[[#This Row],[TRIMESTRE III]]+Tabla6[[#This Row],[TRIMESTRE IV]]</f>
        <v>6552</v>
      </c>
      <c r="O996" s="39" t="s">
        <v>6</v>
      </c>
      <c r="P996" s="79">
        <v>45291</v>
      </c>
      <c r="Q996" s="59" t="s">
        <v>583</v>
      </c>
    </row>
    <row r="997" spans="2:17" ht="36" x14ac:dyDescent="0.2">
      <c r="B997" s="34">
        <v>704126</v>
      </c>
      <c r="C997" s="35" t="s">
        <v>609</v>
      </c>
      <c r="D997" s="36">
        <v>530</v>
      </c>
      <c r="E997" s="101" t="s">
        <v>588</v>
      </c>
      <c r="F997" s="102" t="s">
        <v>610</v>
      </c>
      <c r="G997" s="102" t="s">
        <v>458</v>
      </c>
      <c r="H997" s="103">
        <v>355001</v>
      </c>
      <c r="I997" s="104" t="s">
        <v>596</v>
      </c>
      <c r="J997" s="40">
        <v>9145.5</v>
      </c>
      <c r="K997" s="40">
        <v>9145.5</v>
      </c>
      <c r="L997" s="40">
        <v>9145.5</v>
      </c>
      <c r="M997" s="40">
        <v>9145.5</v>
      </c>
      <c r="N997" s="1">
        <f>Tabla6[[#This Row],[TRIMESTRE  I]]+Tabla6[[#This Row],[TRIMESTRE II]]+Tabla6[[#This Row],[TRIMESTRE III]]+Tabla6[[#This Row],[TRIMESTRE IV]]</f>
        <v>36582</v>
      </c>
      <c r="O997" s="39" t="s">
        <v>15</v>
      </c>
      <c r="P997" s="79">
        <v>45291</v>
      </c>
      <c r="Q997" s="59" t="s">
        <v>587</v>
      </c>
    </row>
    <row r="998" spans="2:17" ht="24" x14ac:dyDescent="0.2">
      <c r="B998" s="34">
        <v>704126</v>
      </c>
      <c r="C998" s="35" t="s">
        <v>609</v>
      </c>
      <c r="D998" s="36">
        <v>530</v>
      </c>
      <c r="E998" s="101" t="s">
        <v>588</v>
      </c>
      <c r="F998" s="102" t="s">
        <v>610</v>
      </c>
      <c r="G998" s="102" t="s">
        <v>458</v>
      </c>
      <c r="H998" s="103">
        <v>371001</v>
      </c>
      <c r="I998" s="104" t="s">
        <v>607</v>
      </c>
      <c r="J998" s="40">
        <v>2061.25</v>
      </c>
      <c r="K998" s="40">
        <v>2061.25</v>
      </c>
      <c r="L998" s="40">
        <v>2061.25</v>
      </c>
      <c r="M998" s="40">
        <v>2061.25</v>
      </c>
      <c r="N998" s="1">
        <f>Tabla6[[#This Row],[TRIMESTRE  I]]+Tabla6[[#This Row],[TRIMESTRE II]]+Tabla6[[#This Row],[TRIMESTRE III]]+Tabla6[[#This Row],[TRIMESTRE IV]]</f>
        <v>8245</v>
      </c>
      <c r="O998" s="39" t="s">
        <v>5</v>
      </c>
      <c r="P998" s="79">
        <v>45291</v>
      </c>
      <c r="Q998" s="59" t="s">
        <v>581</v>
      </c>
    </row>
    <row r="999" spans="2:17" ht="48" x14ac:dyDescent="0.2">
      <c r="B999" s="34">
        <v>704127</v>
      </c>
      <c r="C999" s="35" t="s">
        <v>605</v>
      </c>
      <c r="D999" s="36">
        <v>530</v>
      </c>
      <c r="E999" s="101" t="s">
        <v>588</v>
      </c>
      <c r="F999" s="102" t="s">
        <v>612</v>
      </c>
      <c r="G999" s="102" t="s">
        <v>461</v>
      </c>
      <c r="H999" s="103">
        <v>211001</v>
      </c>
      <c r="I999" s="104" t="s">
        <v>590</v>
      </c>
      <c r="J999" s="40">
        <v>13446.25</v>
      </c>
      <c r="K999" s="40">
        <v>13446.25</v>
      </c>
      <c r="L999" s="40">
        <v>13446.25</v>
      </c>
      <c r="M999" s="40">
        <v>13446.25</v>
      </c>
      <c r="N999" s="1">
        <f>Tabla6[[#This Row],[TRIMESTRE  I]]+Tabla6[[#This Row],[TRIMESTRE II]]+Tabla6[[#This Row],[TRIMESTRE III]]+Tabla6[[#This Row],[TRIMESTRE IV]]</f>
        <v>53785</v>
      </c>
      <c r="O999" s="39" t="s">
        <v>5</v>
      </c>
      <c r="P999" s="79">
        <v>45291</v>
      </c>
      <c r="Q999" s="59" t="s">
        <v>581</v>
      </c>
    </row>
    <row r="1000" spans="2:17" ht="48" x14ac:dyDescent="0.2">
      <c r="B1000" s="34">
        <v>704127</v>
      </c>
      <c r="C1000" s="35" t="s">
        <v>605</v>
      </c>
      <c r="D1000" s="36">
        <v>530</v>
      </c>
      <c r="E1000" s="101" t="s">
        <v>588</v>
      </c>
      <c r="F1000" s="102" t="s">
        <v>612</v>
      </c>
      <c r="G1000" s="102" t="s">
        <v>461</v>
      </c>
      <c r="H1000" s="103">
        <v>216001</v>
      </c>
      <c r="I1000" s="104" t="s">
        <v>592</v>
      </c>
      <c r="J1000" s="40">
        <v>2369.75</v>
      </c>
      <c r="K1000" s="40">
        <v>2369.75</v>
      </c>
      <c r="L1000" s="40">
        <v>2369.75</v>
      </c>
      <c r="M1000" s="40">
        <v>2369.75</v>
      </c>
      <c r="N1000" s="1">
        <f>Tabla6[[#This Row],[TRIMESTRE  I]]+Tabla6[[#This Row],[TRIMESTRE II]]+Tabla6[[#This Row],[TRIMESTRE III]]+Tabla6[[#This Row],[TRIMESTRE IV]]</f>
        <v>9479</v>
      </c>
      <c r="O1000" s="39" t="s">
        <v>5</v>
      </c>
      <c r="P1000" s="79">
        <v>45291</v>
      </c>
      <c r="Q1000" s="59" t="s">
        <v>581</v>
      </c>
    </row>
    <row r="1001" spans="2:17" ht="48" x14ac:dyDescent="0.2">
      <c r="B1001" s="34">
        <v>704127</v>
      </c>
      <c r="C1001" s="35" t="s">
        <v>605</v>
      </c>
      <c r="D1001" s="36">
        <v>530</v>
      </c>
      <c r="E1001" s="101" t="s">
        <v>588</v>
      </c>
      <c r="F1001" s="102" t="s">
        <v>612</v>
      </c>
      <c r="G1001" s="102" t="s">
        <v>461</v>
      </c>
      <c r="H1001" s="103">
        <v>261001</v>
      </c>
      <c r="I1001" s="104" t="s">
        <v>593</v>
      </c>
      <c r="J1001" s="40">
        <v>19432.5</v>
      </c>
      <c r="K1001" s="40">
        <v>19432.5</v>
      </c>
      <c r="L1001" s="40">
        <v>19432.5</v>
      </c>
      <c r="M1001" s="40">
        <v>19432.5</v>
      </c>
      <c r="N1001" s="1">
        <f>Tabla6[[#This Row],[TRIMESTRE  I]]+Tabla6[[#This Row],[TRIMESTRE II]]+Tabla6[[#This Row],[TRIMESTRE III]]+Tabla6[[#This Row],[TRIMESTRE IV]]</f>
        <v>77730</v>
      </c>
      <c r="O1001" s="39" t="s">
        <v>5</v>
      </c>
      <c r="P1001" s="79">
        <v>45291</v>
      </c>
      <c r="Q1001" s="59" t="s">
        <v>581</v>
      </c>
    </row>
    <row r="1002" spans="2:17" ht="48" x14ac:dyDescent="0.2">
      <c r="B1002" s="34">
        <v>704127</v>
      </c>
      <c r="C1002" s="35" t="s">
        <v>605</v>
      </c>
      <c r="D1002" s="36">
        <v>530</v>
      </c>
      <c r="E1002" s="101" t="s">
        <v>588</v>
      </c>
      <c r="F1002" s="102" t="s">
        <v>612</v>
      </c>
      <c r="G1002" s="102" t="s">
        <v>458</v>
      </c>
      <c r="H1002" s="103">
        <v>323002</v>
      </c>
      <c r="I1002" s="104" t="s">
        <v>613</v>
      </c>
      <c r="J1002" s="40">
        <v>17853.75</v>
      </c>
      <c r="K1002" s="40">
        <v>17853.75</v>
      </c>
      <c r="L1002" s="40">
        <v>17853.75</v>
      </c>
      <c r="M1002" s="40">
        <v>17853.75</v>
      </c>
      <c r="N1002" s="1">
        <f>Tabla6[[#This Row],[TRIMESTRE  I]]+Tabla6[[#This Row],[TRIMESTRE II]]+Tabla6[[#This Row],[TRIMESTRE III]]+Tabla6[[#This Row],[TRIMESTRE IV]]</f>
        <v>71415</v>
      </c>
      <c r="O1002" s="39" t="s">
        <v>5</v>
      </c>
      <c r="P1002" s="79">
        <v>45291</v>
      </c>
      <c r="Q1002" s="59" t="s">
        <v>581</v>
      </c>
    </row>
    <row r="1003" spans="2:17" ht="48" x14ac:dyDescent="0.2">
      <c r="B1003" s="34">
        <v>704127</v>
      </c>
      <c r="C1003" s="35" t="s">
        <v>605</v>
      </c>
      <c r="D1003" s="36">
        <v>530</v>
      </c>
      <c r="E1003" s="101" t="s">
        <v>588</v>
      </c>
      <c r="F1003" s="102" t="s">
        <v>612</v>
      </c>
      <c r="G1003" s="102" t="s">
        <v>458</v>
      </c>
      <c r="H1003" s="103">
        <v>351001</v>
      </c>
      <c r="I1003" s="104" t="s">
        <v>611</v>
      </c>
      <c r="J1003" s="40">
        <v>7316.25</v>
      </c>
      <c r="K1003" s="40">
        <v>7316.25</v>
      </c>
      <c r="L1003" s="40">
        <v>7316.25</v>
      </c>
      <c r="M1003" s="40">
        <v>7316.25</v>
      </c>
      <c r="N1003" s="1">
        <f>Tabla6[[#This Row],[TRIMESTRE  I]]+Tabla6[[#This Row],[TRIMESTRE II]]+Tabla6[[#This Row],[TRIMESTRE III]]+Tabla6[[#This Row],[TRIMESTRE IV]]</f>
        <v>29265</v>
      </c>
      <c r="O1003" s="39" t="s">
        <v>6</v>
      </c>
      <c r="P1003" s="79">
        <v>45291</v>
      </c>
      <c r="Q1003" s="59" t="s">
        <v>583</v>
      </c>
    </row>
    <row r="1004" spans="2:17" ht="48" x14ac:dyDescent="0.2">
      <c r="B1004" s="34">
        <v>704127</v>
      </c>
      <c r="C1004" s="35" t="s">
        <v>605</v>
      </c>
      <c r="D1004" s="36">
        <v>530</v>
      </c>
      <c r="E1004" s="101" t="s">
        <v>588</v>
      </c>
      <c r="F1004" s="102" t="s">
        <v>612</v>
      </c>
      <c r="G1004" s="102" t="s">
        <v>458</v>
      </c>
      <c r="H1004" s="103">
        <v>352001</v>
      </c>
      <c r="I1004" s="104" t="s">
        <v>595</v>
      </c>
      <c r="J1004" s="40">
        <v>2914.5</v>
      </c>
      <c r="K1004" s="40">
        <v>2914.5</v>
      </c>
      <c r="L1004" s="40">
        <v>2914.5</v>
      </c>
      <c r="M1004" s="40">
        <v>2914.5</v>
      </c>
      <c r="N1004" s="1">
        <f>Tabla6[[#This Row],[TRIMESTRE  I]]+Tabla6[[#This Row],[TRIMESTRE II]]+Tabla6[[#This Row],[TRIMESTRE III]]+Tabla6[[#This Row],[TRIMESTRE IV]]</f>
        <v>11658</v>
      </c>
      <c r="O1004" s="39" t="s">
        <v>6</v>
      </c>
      <c r="P1004" s="79">
        <v>45291</v>
      </c>
      <c r="Q1004" s="59" t="s">
        <v>583</v>
      </c>
    </row>
    <row r="1005" spans="2:17" ht="48" x14ac:dyDescent="0.2">
      <c r="B1005" s="34">
        <v>704127</v>
      </c>
      <c r="C1005" s="35" t="s">
        <v>605</v>
      </c>
      <c r="D1005" s="36">
        <v>530</v>
      </c>
      <c r="E1005" s="101" t="s">
        <v>588</v>
      </c>
      <c r="F1005" s="102" t="s">
        <v>612</v>
      </c>
      <c r="G1005" s="102" t="s">
        <v>458</v>
      </c>
      <c r="H1005" s="103">
        <v>355001</v>
      </c>
      <c r="I1005" s="104" t="s">
        <v>596</v>
      </c>
      <c r="J1005" s="40">
        <v>17238.25</v>
      </c>
      <c r="K1005" s="40">
        <v>17238.25</v>
      </c>
      <c r="L1005" s="40">
        <v>17238.25</v>
      </c>
      <c r="M1005" s="40">
        <v>17238.25</v>
      </c>
      <c r="N1005" s="1">
        <f>Tabla6[[#This Row],[TRIMESTRE  I]]+Tabla6[[#This Row],[TRIMESTRE II]]+Tabla6[[#This Row],[TRIMESTRE III]]+Tabla6[[#This Row],[TRIMESTRE IV]]</f>
        <v>68953</v>
      </c>
      <c r="O1005" s="39" t="s">
        <v>15</v>
      </c>
      <c r="P1005" s="79">
        <v>45291</v>
      </c>
      <c r="Q1005" s="59" t="s">
        <v>587</v>
      </c>
    </row>
    <row r="1006" spans="2:17" ht="48" x14ac:dyDescent="0.2">
      <c r="B1006" s="34">
        <v>704127</v>
      </c>
      <c r="C1006" s="35" t="s">
        <v>605</v>
      </c>
      <c r="D1006" s="36">
        <v>530</v>
      </c>
      <c r="E1006" s="101" t="s">
        <v>588</v>
      </c>
      <c r="F1006" s="102" t="s">
        <v>612</v>
      </c>
      <c r="G1006" s="102" t="s">
        <v>458</v>
      </c>
      <c r="H1006" s="103">
        <v>371001</v>
      </c>
      <c r="I1006" s="104" t="s">
        <v>607</v>
      </c>
      <c r="J1006" s="40">
        <v>8309.75</v>
      </c>
      <c r="K1006" s="40">
        <v>8309.75</v>
      </c>
      <c r="L1006" s="40">
        <v>8309.75</v>
      </c>
      <c r="M1006" s="40">
        <v>8309.75</v>
      </c>
      <c r="N1006" s="1">
        <f>Tabla6[[#This Row],[TRIMESTRE  I]]+Tabla6[[#This Row],[TRIMESTRE II]]+Tabla6[[#This Row],[TRIMESTRE III]]+Tabla6[[#This Row],[TRIMESTRE IV]]</f>
        <v>33239</v>
      </c>
      <c r="O1006" s="39" t="s">
        <v>5</v>
      </c>
      <c r="P1006" s="79">
        <v>45291</v>
      </c>
      <c r="Q1006" s="59" t="s">
        <v>581</v>
      </c>
    </row>
    <row r="1007" spans="2:17" ht="24" x14ac:dyDescent="0.2">
      <c r="B1007" s="34">
        <v>704128</v>
      </c>
      <c r="C1007" s="35" t="s">
        <v>605</v>
      </c>
      <c r="D1007" s="36">
        <v>530</v>
      </c>
      <c r="E1007" s="101" t="s">
        <v>588</v>
      </c>
      <c r="F1007" s="102" t="s">
        <v>614</v>
      </c>
      <c r="G1007" s="102" t="s">
        <v>461</v>
      </c>
      <c r="H1007" s="103">
        <v>211001</v>
      </c>
      <c r="I1007" s="104" t="s">
        <v>590</v>
      </c>
      <c r="J1007" s="40">
        <v>2441</v>
      </c>
      <c r="K1007" s="40">
        <v>2441</v>
      </c>
      <c r="L1007" s="40">
        <v>2441</v>
      </c>
      <c r="M1007" s="40">
        <v>2441</v>
      </c>
      <c r="N1007" s="1">
        <f>Tabla6[[#This Row],[TRIMESTRE  I]]+Tabla6[[#This Row],[TRIMESTRE II]]+Tabla6[[#This Row],[TRIMESTRE III]]+Tabla6[[#This Row],[TRIMESTRE IV]]</f>
        <v>9764</v>
      </c>
      <c r="O1007" s="39" t="s">
        <v>5</v>
      </c>
      <c r="P1007" s="79">
        <v>45291</v>
      </c>
      <c r="Q1007" s="59" t="s">
        <v>581</v>
      </c>
    </row>
    <row r="1008" spans="2:17" ht="24" x14ac:dyDescent="0.2">
      <c r="B1008" s="34">
        <v>704128</v>
      </c>
      <c r="C1008" s="35" t="s">
        <v>605</v>
      </c>
      <c r="D1008" s="36">
        <v>530</v>
      </c>
      <c r="E1008" s="101" t="s">
        <v>588</v>
      </c>
      <c r="F1008" s="102" t="s">
        <v>614</v>
      </c>
      <c r="G1008" s="102" t="s">
        <v>461</v>
      </c>
      <c r="H1008" s="103">
        <v>216001</v>
      </c>
      <c r="I1008" s="104" t="s">
        <v>592</v>
      </c>
      <c r="J1008" s="40">
        <v>814.25</v>
      </c>
      <c r="K1008" s="40">
        <v>814.25</v>
      </c>
      <c r="L1008" s="40">
        <v>814.25</v>
      </c>
      <c r="M1008" s="40">
        <v>814.25</v>
      </c>
      <c r="N1008" s="1">
        <f>Tabla6[[#This Row],[TRIMESTRE  I]]+Tabla6[[#This Row],[TRIMESTRE II]]+Tabla6[[#This Row],[TRIMESTRE III]]+Tabla6[[#This Row],[TRIMESTRE IV]]</f>
        <v>3257</v>
      </c>
      <c r="O1008" s="39" t="s">
        <v>5</v>
      </c>
      <c r="P1008" s="79">
        <v>45291</v>
      </c>
      <c r="Q1008" s="59" t="s">
        <v>581</v>
      </c>
    </row>
    <row r="1009" spans="2:17" ht="26.25" customHeight="1" x14ac:dyDescent="0.2">
      <c r="B1009" s="34">
        <v>704128</v>
      </c>
      <c r="C1009" s="35" t="s">
        <v>605</v>
      </c>
      <c r="D1009" s="36">
        <v>530</v>
      </c>
      <c r="E1009" s="101" t="s">
        <v>588</v>
      </c>
      <c r="F1009" s="102" t="s">
        <v>614</v>
      </c>
      <c r="G1009" s="102" t="s">
        <v>461</v>
      </c>
      <c r="H1009" s="103">
        <v>261001</v>
      </c>
      <c r="I1009" s="104" t="s">
        <v>593</v>
      </c>
      <c r="J1009" s="40">
        <v>7036.25</v>
      </c>
      <c r="K1009" s="40">
        <v>7036.25</v>
      </c>
      <c r="L1009" s="40">
        <v>7036.25</v>
      </c>
      <c r="M1009" s="40">
        <v>7036.25</v>
      </c>
      <c r="N1009" s="1">
        <f>Tabla6[[#This Row],[TRIMESTRE  I]]+Tabla6[[#This Row],[TRIMESTRE II]]+Tabla6[[#This Row],[TRIMESTRE III]]+Tabla6[[#This Row],[TRIMESTRE IV]]</f>
        <v>28145</v>
      </c>
      <c r="O1009" s="39" t="s">
        <v>5</v>
      </c>
      <c r="P1009" s="79">
        <v>45291</v>
      </c>
      <c r="Q1009" s="59" t="s">
        <v>581</v>
      </c>
    </row>
    <row r="1010" spans="2:17" ht="26.25" customHeight="1" x14ac:dyDescent="0.2">
      <c r="B1010" s="34">
        <v>704128</v>
      </c>
      <c r="C1010" s="35" t="s">
        <v>605</v>
      </c>
      <c r="D1010" s="36">
        <v>530</v>
      </c>
      <c r="E1010" s="101" t="s">
        <v>588</v>
      </c>
      <c r="F1010" s="102" t="s">
        <v>614</v>
      </c>
      <c r="G1010" s="102" t="s">
        <v>458</v>
      </c>
      <c r="H1010" s="103">
        <v>355001</v>
      </c>
      <c r="I1010" s="104" t="s">
        <v>596</v>
      </c>
      <c r="J1010" s="40">
        <v>9712.25</v>
      </c>
      <c r="K1010" s="40">
        <v>9712.25</v>
      </c>
      <c r="L1010" s="40">
        <v>9712.25</v>
      </c>
      <c r="M1010" s="40">
        <v>9712.25</v>
      </c>
      <c r="N1010" s="1">
        <f>Tabla6[[#This Row],[TRIMESTRE  I]]+Tabla6[[#This Row],[TRIMESTRE II]]+Tabla6[[#This Row],[TRIMESTRE III]]+Tabla6[[#This Row],[TRIMESTRE IV]]</f>
        <v>38849</v>
      </c>
      <c r="O1010" s="39" t="s">
        <v>15</v>
      </c>
      <c r="P1010" s="79">
        <v>45291</v>
      </c>
      <c r="Q1010" s="59" t="s">
        <v>587</v>
      </c>
    </row>
    <row r="1011" spans="2:17" ht="26.25" customHeight="1" x14ac:dyDescent="0.2">
      <c r="B1011" s="34">
        <v>704128</v>
      </c>
      <c r="C1011" s="35" t="s">
        <v>605</v>
      </c>
      <c r="D1011" s="36">
        <v>530</v>
      </c>
      <c r="E1011" s="101" t="s">
        <v>588</v>
      </c>
      <c r="F1011" s="102" t="s">
        <v>614</v>
      </c>
      <c r="G1011" s="102" t="s">
        <v>458</v>
      </c>
      <c r="H1011" s="103">
        <v>371001</v>
      </c>
      <c r="I1011" s="104" t="s">
        <v>607</v>
      </c>
      <c r="J1011" s="40">
        <v>7756.25</v>
      </c>
      <c r="K1011" s="40">
        <v>7756.25</v>
      </c>
      <c r="L1011" s="40">
        <v>7756.25</v>
      </c>
      <c r="M1011" s="40">
        <v>7756.25</v>
      </c>
      <c r="N1011" s="1">
        <f>Tabla6[[#This Row],[TRIMESTRE  I]]+Tabla6[[#This Row],[TRIMESTRE II]]+Tabla6[[#This Row],[TRIMESTRE III]]+Tabla6[[#This Row],[TRIMESTRE IV]]</f>
        <v>31025</v>
      </c>
      <c r="O1011" s="39" t="s">
        <v>5</v>
      </c>
      <c r="P1011" s="79">
        <v>45291</v>
      </c>
      <c r="Q1011" s="59" t="s">
        <v>587</v>
      </c>
    </row>
    <row r="1012" spans="2:17" ht="12.75" customHeight="1" x14ac:dyDescent="0.2">
      <c r="B1012" s="34"/>
      <c r="C1012" s="35"/>
      <c r="D1012" s="36"/>
      <c r="E1012" s="4"/>
      <c r="F1012" s="37"/>
      <c r="G1012" s="37"/>
      <c r="H1012" s="38"/>
      <c r="I1012" s="53"/>
      <c r="J1012" s="40"/>
      <c r="K1012" s="40"/>
      <c r="L1012" s="40"/>
      <c r="M1012" s="40"/>
      <c r="N1012" s="1">
        <f>SUBTOTAL(109,Tabla6[[PRESUPUESTO ANUAL AUTORIZADO ]])</f>
        <v>5955888</v>
      </c>
      <c r="O1012" s="39"/>
      <c r="P1012" s="79"/>
      <c r="Q1012" s="59"/>
    </row>
    <row r="1013" spans="2:17" x14ac:dyDescent="0.2">
      <c r="B1013" s="34"/>
      <c r="C1013" s="35"/>
      <c r="D1013" s="36"/>
      <c r="E1013" s="4"/>
      <c r="F1013" s="37"/>
      <c r="G1013" s="37"/>
      <c r="H1013" s="38"/>
      <c r="I1013" s="53"/>
      <c r="J1013" s="40"/>
      <c r="K1013" s="40"/>
      <c r="L1013" s="40"/>
      <c r="M1013" s="40"/>
      <c r="N1013" s="1"/>
      <c r="O1013" s="39"/>
      <c r="P1013" s="79"/>
      <c r="Q1013" s="59"/>
    </row>
    <row r="1014" spans="2:17" ht="23.25" x14ac:dyDescent="0.2">
      <c r="B1014" s="111" t="s">
        <v>4</v>
      </c>
      <c r="C1014" s="111"/>
      <c r="D1014" s="111"/>
      <c r="E1014" s="111"/>
      <c r="F1014" s="111"/>
      <c r="G1014" s="111"/>
      <c r="H1014" s="111"/>
      <c r="I1014" s="111"/>
      <c r="J1014" s="111"/>
      <c r="K1014" s="111"/>
      <c r="L1014" s="111"/>
      <c r="M1014" s="111"/>
      <c r="N1014" s="111"/>
      <c r="O1014" s="111"/>
      <c r="P1014" s="111"/>
      <c r="Q1014" s="111"/>
    </row>
    <row r="1015" spans="2:17" ht="23.25" x14ac:dyDescent="0.2">
      <c r="B1015" s="109" t="s">
        <v>744</v>
      </c>
      <c r="C1015" s="109"/>
      <c r="D1015" s="109"/>
      <c r="E1015" s="109"/>
      <c r="F1015" s="109"/>
      <c r="G1015" s="109"/>
      <c r="H1015" s="109"/>
      <c r="I1015" s="109"/>
      <c r="J1015" s="109"/>
      <c r="K1015" s="109"/>
      <c r="L1015" s="109"/>
      <c r="M1015" s="109"/>
      <c r="N1015" s="109"/>
      <c r="O1015" s="109"/>
      <c r="P1015" s="109"/>
      <c r="Q1015" s="109"/>
    </row>
    <row r="1016" spans="2:17" s="90" customFormat="1" ht="23.25" x14ac:dyDescent="0.2">
      <c r="B1016" s="110" t="s">
        <v>466</v>
      </c>
      <c r="C1016" s="110"/>
      <c r="D1016" s="110"/>
      <c r="E1016" s="110"/>
      <c r="F1016" s="110"/>
      <c r="G1016" s="110"/>
      <c r="H1016" s="110"/>
      <c r="I1016" s="110"/>
      <c r="J1016" s="110"/>
      <c r="K1016" s="110"/>
      <c r="L1016" s="110"/>
      <c r="M1016" s="110"/>
      <c r="N1016" s="110"/>
      <c r="O1016" s="110"/>
      <c r="P1016" s="110"/>
      <c r="Q1016" s="110"/>
    </row>
    <row r="1017" spans="2:17" ht="45" x14ac:dyDescent="0.2">
      <c r="B1017" s="5" t="s">
        <v>9</v>
      </c>
      <c r="C1017" s="5" t="s">
        <v>10</v>
      </c>
      <c r="D1017" s="5" t="s">
        <v>1</v>
      </c>
      <c r="E1017" s="5" t="s">
        <v>0</v>
      </c>
      <c r="F1017" s="78" t="s">
        <v>17</v>
      </c>
      <c r="G1017" s="5" t="s">
        <v>2</v>
      </c>
      <c r="H1017" s="5" t="s">
        <v>11</v>
      </c>
      <c r="I1017" s="5" t="s">
        <v>16</v>
      </c>
      <c r="J1017" s="5" t="s">
        <v>465</v>
      </c>
      <c r="K1017" s="5" t="s">
        <v>462</v>
      </c>
      <c r="L1017" s="5" t="s">
        <v>463</v>
      </c>
      <c r="M1017" s="5" t="s">
        <v>464</v>
      </c>
      <c r="N1017" s="5" t="s">
        <v>12</v>
      </c>
      <c r="O1017" s="5" t="s">
        <v>3</v>
      </c>
      <c r="P1017" s="5" t="s">
        <v>13</v>
      </c>
      <c r="Q1017" s="5" t="s">
        <v>8</v>
      </c>
    </row>
    <row r="1018" spans="2:17" ht="24" x14ac:dyDescent="0.2">
      <c r="B1018" s="34">
        <v>801</v>
      </c>
      <c r="C1018" s="35" t="s">
        <v>615</v>
      </c>
      <c r="D1018" s="36">
        <v>530</v>
      </c>
      <c r="E1018" s="101" t="str">
        <f>IF(D1018&lt;=0,"",VLOOKUP(D1018,[7]FF!A:D,2,0))</f>
        <v>PARTICIPACIONES Ramo 28</v>
      </c>
      <c r="F1018" s="37" t="s">
        <v>616</v>
      </c>
      <c r="G1018" s="37" t="s">
        <v>461</v>
      </c>
      <c r="H1018" s="38">
        <v>211001</v>
      </c>
      <c r="I1018" s="104" t="str">
        <f>IF(H1018&lt;=0,"",VLOOKUP(H1018,[7]COG!A:H,2,0))</f>
        <v>Material de oficina</v>
      </c>
      <c r="J1018" s="40">
        <v>10000</v>
      </c>
      <c r="K1018" s="40">
        <v>5500</v>
      </c>
      <c r="L1018" s="40">
        <v>7000</v>
      </c>
      <c r="M1018" s="40">
        <v>5000</v>
      </c>
      <c r="N1018" s="1">
        <f>Tabla7[[#This Row],[TRIMESTRE  I]]+Tabla7[[#This Row],[TRIMESTRE II]]+Tabla7[[#This Row],[TRIMESTRE III]]+Tabla7[[#This Row],[TRIMESTRE IV]]</f>
        <v>27500</v>
      </c>
      <c r="O1018" s="39" t="s">
        <v>5</v>
      </c>
      <c r="P1018" s="79">
        <v>45292</v>
      </c>
      <c r="Q1018" s="59" t="s">
        <v>617</v>
      </c>
    </row>
    <row r="1019" spans="2:17" ht="36" x14ac:dyDescent="0.2">
      <c r="B1019" s="34">
        <v>801</v>
      </c>
      <c r="C1019" s="35" t="s">
        <v>615</v>
      </c>
      <c r="D1019" s="36">
        <v>530</v>
      </c>
      <c r="E1019" s="101" t="str">
        <f>IF(D1019&lt;=0,"",VLOOKUP(D1019,[7]FF!A:D,2,0))</f>
        <v>PARTICIPACIONES Ramo 28</v>
      </c>
      <c r="F1019" s="37" t="s">
        <v>616</v>
      </c>
      <c r="G1019" s="37" t="s">
        <v>461</v>
      </c>
      <c r="H1019" s="38">
        <v>214001</v>
      </c>
      <c r="I1019" s="104" t="str">
        <f>IF(H1019&lt;=0,"",VLOOKUP(H1019,[7]COG!A:H,2,0))</f>
        <v>Materiales, útiles y equipos menores de tecnologías de la información y comunicaciones</v>
      </c>
      <c r="J1019" s="40">
        <v>9000</v>
      </c>
      <c r="K1019" s="40">
        <v>4000</v>
      </c>
      <c r="L1019" s="40">
        <v>2000</v>
      </c>
      <c r="M1019" s="40">
        <v>5000</v>
      </c>
      <c r="N1019" s="1">
        <f>Tabla7[[#This Row],[TRIMESTRE  I]]+Tabla7[[#This Row],[TRIMESTRE II]]+Tabla7[[#This Row],[TRIMESTRE III]]+Tabla7[[#This Row],[TRIMESTRE IV]]</f>
        <v>20000</v>
      </c>
      <c r="O1019" s="39" t="s">
        <v>7</v>
      </c>
      <c r="P1019" s="79">
        <v>45352</v>
      </c>
      <c r="Q1019" s="59" t="s">
        <v>618</v>
      </c>
    </row>
    <row r="1020" spans="2:17" ht="24" x14ac:dyDescent="0.2">
      <c r="B1020" s="46">
        <v>801</v>
      </c>
      <c r="C1020" s="47" t="s">
        <v>615</v>
      </c>
      <c r="D1020" s="48">
        <v>530</v>
      </c>
      <c r="E1020" s="101" t="str">
        <f>IF(D1020&lt;=0,"",VLOOKUP(D1020,[7]FF!A:D,2,0))</f>
        <v>PARTICIPACIONES Ramo 28</v>
      </c>
      <c r="F1020" s="37" t="s">
        <v>616</v>
      </c>
      <c r="G1020" s="37" t="s">
        <v>461</v>
      </c>
      <c r="H1020" s="49">
        <v>215001</v>
      </c>
      <c r="I1020" s="104" t="str">
        <f>IF(H1020&lt;=0,"",VLOOKUP(H1020,[7]COG!A:H,2,0))</f>
        <v>Material didáctico</v>
      </c>
      <c r="J1020" s="51">
        <v>0</v>
      </c>
      <c r="K1020" s="51">
        <v>50000</v>
      </c>
      <c r="L1020" s="51">
        <v>45000</v>
      </c>
      <c r="M1020" s="51">
        <v>0</v>
      </c>
      <c r="N1020" s="1">
        <f>Tabla7[[#This Row],[TRIMESTRE  I]]+Tabla7[[#This Row],[TRIMESTRE II]]+Tabla7[[#This Row],[TRIMESTRE III]]+Tabla7[[#This Row],[TRIMESTRE IV]]</f>
        <v>95000</v>
      </c>
      <c r="O1020" s="39" t="s">
        <v>6</v>
      </c>
      <c r="P1020" s="79">
        <v>45383</v>
      </c>
      <c r="Q1020" s="59" t="s">
        <v>619</v>
      </c>
    </row>
    <row r="1021" spans="2:17" ht="24" x14ac:dyDescent="0.2">
      <c r="B1021" s="34">
        <v>801</v>
      </c>
      <c r="C1021" s="35" t="s">
        <v>615</v>
      </c>
      <c r="D1021" s="36">
        <v>530</v>
      </c>
      <c r="E1021" s="101" t="str">
        <f>IF(D1021&lt;=0,"",VLOOKUP(D1021,[7]FF!A:D,2,0))</f>
        <v>PARTICIPACIONES Ramo 28</v>
      </c>
      <c r="F1021" s="37" t="s">
        <v>616</v>
      </c>
      <c r="G1021" s="37" t="s">
        <v>461</v>
      </c>
      <c r="H1021" s="38">
        <v>216001</v>
      </c>
      <c r="I1021" s="104" t="str">
        <f>IF(H1021&lt;=0,"",VLOOKUP(H1021,[7]COG!A:H,2,0))</f>
        <v>Material de limpieza</v>
      </c>
      <c r="J1021" s="40">
        <v>7000</v>
      </c>
      <c r="K1021" s="40">
        <v>24000</v>
      </c>
      <c r="L1021" s="40">
        <v>18500</v>
      </c>
      <c r="M1021" s="40">
        <v>13500</v>
      </c>
      <c r="N1021" s="1">
        <f>Tabla7[[#This Row],[TRIMESTRE  I]]+Tabla7[[#This Row],[TRIMESTRE II]]+Tabla7[[#This Row],[TRIMESTRE III]]+Tabla7[[#This Row],[TRIMESTRE IV]]</f>
        <v>63000</v>
      </c>
      <c r="O1021" s="39" t="s">
        <v>5</v>
      </c>
      <c r="P1021" s="79">
        <v>45292</v>
      </c>
      <c r="Q1021" s="59" t="s">
        <v>617</v>
      </c>
    </row>
    <row r="1022" spans="2:17" ht="24" x14ac:dyDescent="0.2">
      <c r="B1022" s="34">
        <v>801</v>
      </c>
      <c r="C1022" s="35" t="s">
        <v>615</v>
      </c>
      <c r="D1022" s="36">
        <v>530</v>
      </c>
      <c r="E1022" s="101" t="str">
        <f>IF(D1022&lt;=0,"",VLOOKUP(D1022,[7]FF!A:D,2,0))</f>
        <v>PARTICIPACIONES Ramo 28</v>
      </c>
      <c r="F1022" s="37" t="s">
        <v>616</v>
      </c>
      <c r="G1022" s="37" t="s">
        <v>461</v>
      </c>
      <c r="H1022" s="38">
        <v>221001</v>
      </c>
      <c r="I1022" s="104" t="str">
        <f>IF(H1022&lt;=0,"",VLOOKUP(H1022,[7]COG!A:H,2,0))</f>
        <v>Alimentación de personas</v>
      </c>
      <c r="J1022" s="40">
        <v>1077782</v>
      </c>
      <c r="K1022" s="40">
        <v>1604807</v>
      </c>
      <c r="L1022" s="40">
        <v>1376963</v>
      </c>
      <c r="M1022" s="40">
        <v>2055588</v>
      </c>
      <c r="N1022" s="1">
        <f>Tabla7[[#This Row],[TRIMESTRE  I]]+Tabla7[[#This Row],[TRIMESTRE II]]+Tabla7[[#This Row],[TRIMESTRE III]]+Tabla7[[#This Row],[TRIMESTRE IV]]</f>
        <v>6115140</v>
      </c>
      <c r="O1022" s="39" t="s">
        <v>7</v>
      </c>
      <c r="P1022" s="79">
        <v>45352</v>
      </c>
      <c r="Q1022" s="59" t="s">
        <v>618</v>
      </c>
    </row>
    <row r="1023" spans="2:17" ht="24" x14ac:dyDescent="0.2">
      <c r="B1023" s="46">
        <v>801</v>
      </c>
      <c r="C1023" s="47" t="s">
        <v>615</v>
      </c>
      <c r="D1023" s="48">
        <v>530</v>
      </c>
      <c r="E1023" s="101" t="str">
        <f>IF(D1023&lt;=0,"",VLOOKUP(D1023,[7]FF!A:D,2,0))</f>
        <v>PARTICIPACIONES Ramo 28</v>
      </c>
      <c r="F1023" s="37" t="s">
        <v>616</v>
      </c>
      <c r="G1023" s="37" t="s">
        <v>461</v>
      </c>
      <c r="H1023" s="49">
        <v>223001</v>
      </c>
      <c r="I1023" s="104" t="str">
        <f>IF(H1023&lt;=0,"",VLOOKUP(H1023,[7]COG!A:H,2,0))</f>
        <v>Utensilios para el servicio de alimentación</v>
      </c>
      <c r="J1023" s="51">
        <v>1000</v>
      </c>
      <c r="K1023" s="51">
        <v>2000</v>
      </c>
      <c r="L1023" s="51">
        <v>0</v>
      </c>
      <c r="M1023" s="51">
        <v>2000</v>
      </c>
      <c r="N1023" s="1">
        <f>Tabla7[[#This Row],[TRIMESTRE  I]]+Tabla7[[#This Row],[TRIMESTRE II]]+Tabla7[[#This Row],[TRIMESTRE III]]+Tabla7[[#This Row],[TRIMESTRE IV]]</f>
        <v>5000</v>
      </c>
      <c r="O1023" s="39" t="s">
        <v>6</v>
      </c>
      <c r="P1023" s="79">
        <v>45383</v>
      </c>
      <c r="Q1023" s="59" t="s">
        <v>619</v>
      </c>
    </row>
    <row r="1024" spans="2:17" ht="24" x14ac:dyDescent="0.2">
      <c r="B1024" s="46">
        <v>801</v>
      </c>
      <c r="C1024" s="47" t="s">
        <v>615</v>
      </c>
      <c r="D1024" s="48">
        <v>530</v>
      </c>
      <c r="E1024" s="101" t="str">
        <f>IF(D1024&lt;=0,"",VLOOKUP(D1024,[7]FF!A:D,2,0))</f>
        <v>PARTICIPACIONES Ramo 28</v>
      </c>
      <c r="F1024" s="37" t="s">
        <v>616</v>
      </c>
      <c r="G1024" s="37" t="s">
        <v>461</v>
      </c>
      <c r="H1024" s="49">
        <v>241001</v>
      </c>
      <c r="I1024" s="104" t="str">
        <f>IF(H1024&lt;=0,"",VLOOKUP(H1024,[7]COG!A:H,2,0))</f>
        <v>Productos minerales no metálicos</v>
      </c>
      <c r="J1024" s="51">
        <v>2500</v>
      </c>
      <c r="K1024" s="51">
        <v>0</v>
      </c>
      <c r="L1024" s="51">
        <v>0</v>
      </c>
      <c r="M1024" s="51">
        <v>2500</v>
      </c>
      <c r="N1024" s="1">
        <f>Tabla7[[#This Row],[TRIMESTRE  I]]+Tabla7[[#This Row],[TRIMESTRE II]]+Tabla7[[#This Row],[TRIMESTRE III]]+Tabla7[[#This Row],[TRIMESTRE IV]]</f>
        <v>5000</v>
      </c>
      <c r="O1024" s="39" t="s">
        <v>6</v>
      </c>
      <c r="P1024" s="79">
        <v>45383</v>
      </c>
      <c r="Q1024" s="59" t="s">
        <v>619</v>
      </c>
    </row>
    <row r="1025" spans="2:17" ht="24" x14ac:dyDescent="0.2">
      <c r="B1025" s="46">
        <v>801</v>
      </c>
      <c r="C1025" s="47" t="s">
        <v>615</v>
      </c>
      <c r="D1025" s="48">
        <v>530</v>
      </c>
      <c r="E1025" s="101" t="str">
        <f>IF(D1025&lt;=0,"",VLOOKUP(D1025,[7]FF!A:D,2,0))</f>
        <v>PARTICIPACIONES Ramo 28</v>
      </c>
      <c r="F1025" s="37" t="s">
        <v>616</v>
      </c>
      <c r="G1025" s="37" t="s">
        <v>461</v>
      </c>
      <c r="H1025" s="49">
        <v>246001</v>
      </c>
      <c r="I1025" s="104" t="str">
        <f>IF(H1025&lt;=0,"",VLOOKUP(H1025,[7]COG!A:H,2,0))</f>
        <v>Material eléctrico</v>
      </c>
      <c r="J1025" s="51">
        <v>5000</v>
      </c>
      <c r="K1025" s="51">
        <v>2000</v>
      </c>
      <c r="L1025" s="51">
        <v>1000</v>
      </c>
      <c r="M1025" s="51">
        <v>2000</v>
      </c>
      <c r="N1025" s="1">
        <f>Tabla7[[#This Row],[TRIMESTRE  I]]+Tabla7[[#This Row],[TRIMESTRE II]]+Tabla7[[#This Row],[TRIMESTRE III]]+Tabla7[[#This Row],[TRIMESTRE IV]]</f>
        <v>10000</v>
      </c>
      <c r="O1025" s="39" t="s">
        <v>6</v>
      </c>
      <c r="P1025" s="79">
        <v>45383</v>
      </c>
      <c r="Q1025" s="59" t="s">
        <v>619</v>
      </c>
    </row>
    <row r="1026" spans="2:17" ht="24" x14ac:dyDescent="0.2">
      <c r="B1026" s="46">
        <v>801</v>
      </c>
      <c r="C1026" s="47" t="s">
        <v>615</v>
      </c>
      <c r="D1026" s="48">
        <v>530</v>
      </c>
      <c r="E1026" s="101" t="str">
        <f>IF(D1026&lt;=0,"",VLOOKUP(D1026,[7]FF!A:D,2,0))</f>
        <v>PARTICIPACIONES Ramo 28</v>
      </c>
      <c r="F1026" s="37" t="s">
        <v>616</v>
      </c>
      <c r="G1026" s="37" t="s">
        <v>461</v>
      </c>
      <c r="H1026" s="49">
        <v>249001</v>
      </c>
      <c r="I1026" s="104" t="str">
        <f>IF(H1026&lt;=0,"",VLOOKUP(H1026,[7]COG!A:H,2,0))</f>
        <v>Materiales de construcción y complementarios</v>
      </c>
      <c r="J1026" s="51">
        <v>7500</v>
      </c>
      <c r="K1026" s="51">
        <v>0</v>
      </c>
      <c r="L1026" s="51">
        <v>0</v>
      </c>
      <c r="M1026" s="51">
        <v>2500</v>
      </c>
      <c r="N1026" s="1">
        <f>Tabla7[[#This Row],[TRIMESTRE  I]]+Tabla7[[#This Row],[TRIMESTRE II]]+Tabla7[[#This Row],[TRIMESTRE III]]+Tabla7[[#This Row],[TRIMESTRE IV]]</f>
        <v>10000</v>
      </c>
      <c r="O1026" s="39" t="s">
        <v>6</v>
      </c>
      <c r="P1026" s="79">
        <v>45383</v>
      </c>
      <c r="Q1026" s="59" t="s">
        <v>619</v>
      </c>
    </row>
    <row r="1027" spans="2:17" ht="24" x14ac:dyDescent="0.2">
      <c r="B1027" s="46">
        <v>801</v>
      </c>
      <c r="C1027" s="47" t="s">
        <v>615</v>
      </c>
      <c r="D1027" s="48">
        <v>530</v>
      </c>
      <c r="E1027" s="101" t="str">
        <f>IF(D1027&lt;=0,"",VLOOKUP(D1027,[7]FF!A:D,2,0))</f>
        <v>PARTICIPACIONES Ramo 28</v>
      </c>
      <c r="F1027" s="37" t="s">
        <v>616</v>
      </c>
      <c r="G1027" s="37" t="s">
        <v>461</v>
      </c>
      <c r="H1027" s="49">
        <v>253001</v>
      </c>
      <c r="I1027" s="104" t="str">
        <f>IF(H1027&lt;=0,"",VLOOKUP(H1027,[7]COG!A:H,2,0))</f>
        <v>Material y productos químicos, farmacéuticos</v>
      </c>
      <c r="J1027" s="51">
        <v>1000</v>
      </c>
      <c r="K1027" s="51">
        <v>0</v>
      </c>
      <c r="L1027" s="51">
        <v>0</v>
      </c>
      <c r="M1027" s="51">
        <v>0</v>
      </c>
      <c r="N1027" s="1">
        <f>Tabla7[[#This Row],[TRIMESTRE  I]]+Tabla7[[#This Row],[TRIMESTRE II]]+Tabla7[[#This Row],[TRIMESTRE III]]+Tabla7[[#This Row],[TRIMESTRE IV]]</f>
        <v>1000</v>
      </c>
      <c r="O1027" s="39" t="s">
        <v>6</v>
      </c>
      <c r="P1027" s="79">
        <v>45383</v>
      </c>
      <c r="Q1027" s="59" t="s">
        <v>619</v>
      </c>
    </row>
    <row r="1028" spans="2:17" ht="24" x14ac:dyDescent="0.2">
      <c r="B1028" s="34">
        <v>801</v>
      </c>
      <c r="C1028" s="35" t="s">
        <v>615</v>
      </c>
      <c r="D1028" s="36">
        <v>530</v>
      </c>
      <c r="E1028" s="101" t="str">
        <f>IF(D1028&lt;=0,"",VLOOKUP(D1028,[7]FF!A:D,2,0))</f>
        <v>PARTICIPACIONES Ramo 28</v>
      </c>
      <c r="F1028" s="37" t="s">
        <v>616</v>
      </c>
      <c r="G1028" s="37" t="s">
        <v>461</v>
      </c>
      <c r="H1028" s="38">
        <v>261001</v>
      </c>
      <c r="I1028" s="104" t="str">
        <f>IF(H1028&lt;=0,"",VLOOKUP(H1028,[7]COG!A:H,2,0))</f>
        <v>Combustibles</v>
      </c>
      <c r="J1028" s="40">
        <v>5650</v>
      </c>
      <c r="K1028" s="40">
        <v>5500</v>
      </c>
      <c r="L1028" s="40">
        <v>4500</v>
      </c>
      <c r="M1028" s="40">
        <v>3000</v>
      </c>
      <c r="N1028" s="1">
        <f>Tabla7[[#This Row],[TRIMESTRE  I]]+Tabla7[[#This Row],[TRIMESTRE II]]+Tabla7[[#This Row],[TRIMESTRE III]]+Tabla7[[#This Row],[TRIMESTRE IV]]</f>
        <v>18650</v>
      </c>
      <c r="O1028" s="39" t="s">
        <v>5</v>
      </c>
      <c r="P1028" s="79">
        <v>45292</v>
      </c>
      <c r="Q1028" s="59" t="s">
        <v>617</v>
      </c>
    </row>
    <row r="1029" spans="2:17" ht="24" x14ac:dyDescent="0.2">
      <c r="B1029" s="34">
        <v>801</v>
      </c>
      <c r="C1029" s="35" t="s">
        <v>615</v>
      </c>
      <c r="D1029" s="36">
        <v>530</v>
      </c>
      <c r="E1029" s="101" t="str">
        <f>IF(D1029&lt;=0,"",VLOOKUP(D1029,[7]FF!A:D,2,0))</f>
        <v>PARTICIPACIONES Ramo 28</v>
      </c>
      <c r="F1029" s="37" t="s">
        <v>616</v>
      </c>
      <c r="G1029" s="37" t="s">
        <v>461</v>
      </c>
      <c r="H1029" s="38">
        <v>271001</v>
      </c>
      <c r="I1029" s="104" t="str">
        <f>IF(H1029&lt;=0,"",VLOOKUP(H1029,[7]COG!A:H,2,0))</f>
        <v>Ropa, vestuario y equipo</v>
      </c>
      <c r="J1029" s="40">
        <v>93417</v>
      </c>
      <c r="K1029" s="40">
        <v>56000</v>
      </c>
      <c r="L1029" s="40">
        <v>12000</v>
      </c>
      <c r="M1029" s="40">
        <v>168583</v>
      </c>
      <c r="N1029" s="1">
        <f>Tabla7[[#This Row],[TRIMESTRE  I]]+Tabla7[[#This Row],[TRIMESTRE II]]+Tabla7[[#This Row],[TRIMESTRE III]]+Tabla7[[#This Row],[TRIMESTRE IV]]</f>
        <v>330000</v>
      </c>
      <c r="O1029" s="39" t="s">
        <v>15</v>
      </c>
      <c r="P1029" s="79">
        <v>45352</v>
      </c>
      <c r="Q1029" s="59" t="s">
        <v>620</v>
      </c>
    </row>
    <row r="1030" spans="2:17" ht="24" x14ac:dyDescent="0.2">
      <c r="B1030" s="46">
        <v>801</v>
      </c>
      <c r="C1030" s="47" t="s">
        <v>615</v>
      </c>
      <c r="D1030" s="48">
        <v>530</v>
      </c>
      <c r="E1030" s="101" t="str">
        <f>IF(D1030&lt;=0,"",VLOOKUP(D1030,[7]FF!A:D,2,0))</f>
        <v>PARTICIPACIONES Ramo 28</v>
      </c>
      <c r="F1030" s="37" t="s">
        <v>616</v>
      </c>
      <c r="G1030" s="37" t="s">
        <v>461</v>
      </c>
      <c r="H1030" s="49">
        <v>273001</v>
      </c>
      <c r="I1030" s="104" t="str">
        <f>IF(H1030&lt;=0,"",VLOOKUP(H1030,[7]COG!A:H,2,0))</f>
        <v>Artículos deportivos</v>
      </c>
      <c r="J1030" s="51">
        <v>12000</v>
      </c>
      <c r="K1030" s="51">
        <v>165443</v>
      </c>
      <c r="L1030" s="51">
        <v>95000</v>
      </c>
      <c r="M1030" s="51">
        <v>21333</v>
      </c>
      <c r="N1030" s="1">
        <f>Tabla7[[#This Row],[TRIMESTRE  I]]+Tabla7[[#This Row],[TRIMESTRE II]]+Tabla7[[#This Row],[TRIMESTRE III]]+Tabla7[[#This Row],[TRIMESTRE IV]]</f>
        <v>293776</v>
      </c>
      <c r="O1030" s="39" t="s">
        <v>6</v>
      </c>
      <c r="P1030" s="79">
        <v>45352</v>
      </c>
      <c r="Q1030" s="59" t="s">
        <v>619</v>
      </c>
    </row>
    <row r="1031" spans="2:17" ht="24" x14ac:dyDescent="0.2">
      <c r="B1031" s="46">
        <v>801</v>
      </c>
      <c r="C1031" s="47" t="s">
        <v>615</v>
      </c>
      <c r="D1031" s="48">
        <v>530</v>
      </c>
      <c r="E1031" s="101" t="str">
        <f>IF(D1031&lt;=0,"",VLOOKUP(D1031,[7]FF!A:D,2,0))</f>
        <v>PARTICIPACIONES Ramo 28</v>
      </c>
      <c r="F1031" s="37" t="s">
        <v>616</v>
      </c>
      <c r="G1031" s="37" t="s">
        <v>461</v>
      </c>
      <c r="H1031" s="49">
        <v>274001</v>
      </c>
      <c r="I1031" s="104" t="str">
        <f>IF(H1031&lt;=0,"",VLOOKUP(H1031,[7]COG!A:H,2,0))</f>
        <v>Productos textiles</v>
      </c>
      <c r="J1031" s="51">
        <v>2500</v>
      </c>
      <c r="K1031" s="51">
        <v>0</v>
      </c>
      <c r="L1031" s="51">
        <v>0</v>
      </c>
      <c r="M1031" s="51">
        <v>2500</v>
      </c>
      <c r="N1031" s="1">
        <f>Tabla7[[#This Row],[TRIMESTRE  I]]+Tabla7[[#This Row],[TRIMESTRE II]]+Tabla7[[#This Row],[TRIMESTRE III]]+Tabla7[[#This Row],[TRIMESTRE IV]]</f>
        <v>5000</v>
      </c>
      <c r="O1031" s="39" t="s">
        <v>6</v>
      </c>
      <c r="P1031" s="79">
        <v>45352</v>
      </c>
      <c r="Q1031" s="59" t="s">
        <v>619</v>
      </c>
    </row>
    <row r="1032" spans="2:17" ht="24" x14ac:dyDescent="0.2">
      <c r="B1032" s="34">
        <v>801</v>
      </c>
      <c r="C1032" s="35" t="s">
        <v>615</v>
      </c>
      <c r="D1032" s="36">
        <v>530</v>
      </c>
      <c r="E1032" s="101" t="str">
        <f>IF(D1032&lt;=0,"",VLOOKUP(D1032,[7]FF!A:D,2,0))</f>
        <v>PARTICIPACIONES Ramo 28</v>
      </c>
      <c r="F1032" s="37" t="s">
        <v>616</v>
      </c>
      <c r="G1032" s="37" t="s">
        <v>461</v>
      </c>
      <c r="H1032" s="38">
        <v>291001</v>
      </c>
      <c r="I1032" s="104" t="str">
        <f>IF(H1032&lt;=0,"",VLOOKUP(H1032,[7]COG!A:H,2,0))</f>
        <v>Herramientas Auxiliares de Trabajo</v>
      </c>
      <c r="J1032" s="40">
        <v>2000</v>
      </c>
      <c r="K1032" s="40">
        <v>2000</v>
      </c>
      <c r="L1032" s="40">
        <v>1000</v>
      </c>
      <c r="M1032" s="40">
        <v>0</v>
      </c>
      <c r="N1032" s="1">
        <f>Tabla7[[#This Row],[TRIMESTRE  I]]+Tabla7[[#This Row],[TRIMESTRE II]]+Tabla7[[#This Row],[TRIMESTRE III]]+Tabla7[[#This Row],[TRIMESTRE IV]]</f>
        <v>5000</v>
      </c>
      <c r="O1032" s="39" t="s">
        <v>6</v>
      </c>
      <c r="P1032" s="79">
        <v>45352</v>
      </c>
      <c r="Q1032" s="59" t="s">
        <v>619</v>
      </c>
    </row>
    <row r="1033" spans="2:17" ht="36" x14ac:dyDescent="0.2">
      <c r="B1033" s="46">
        <v>801</v>
      </c>
      <c r="C1033" s="47" t="s">
        <v>615</v>
      </c>
      <c r="D1033" s="48">
        <v>530</v>
      </c>
      <c r="E1033" s="101" t="str">
        <f>IF(D1033&lt;=0,"",VLOOKUP(D1033,[7]FF!A:D,2,0))</f>
        <v>PARTICIPACIONES Ramo 28</v>
      </c>
      <c r="F1033" s="37" t="s">
        <v>616</v>
      </c>
      <c r="G1033" s="37" t="s">
        <v>461</v>
      </c>
      <c r="H1033" s="49">
        <v>292001</v>
      </c>
      <c r="I1033" s="104" t="str">
        <f>IF(H1033&lt;=0,"",VLOOKUP(H1033,[7]COG!A:H,2,0))</f>
        <v>Refacciones y accesorios menores de edificios (candados, cerraduras, chapas, llaves)</v>
      </c>
      <c r="J1033" s="40">
        <v>2500</v>
      </c>
      <c r="K1033" s="51">
        <v>5765</v>
      </c>
      <c r="L1033" s="51">
        <v>215428</v>
      </c>
      <c r="M1033" s="51">
        <v>2500</v>
      </c>
      <c r="N1033" s="1">
        <f>Tabla7[[#This Row],[TRIMESTRE  I]]+Tabla7[[#This Row],[TRIMESTRE II]]+Tabla7[[#This Row],[TRIMESTRE III]]+Tabla7[[#This Row],[TRIMESTRE IV]]</f>
        <v>226193</v>
      </c>
      <c r="O1033" s="39" t="s">
        <v>6</v>
      </c>
      <c r="P1033" s="79">
        <v>45352</v>
      </c>
      <c r="Q1033" s="59" t="s">
        <v>619</v>
      </c>
    </row>
    <row r="1034" spans="2:17" ht="22.5" x14ac:dyDescent="0.2">
      <c r="B1034" s="34">
        <v>801</v>
      </c>
      <c r="C1034" s="35" t="s">
        <v>621</v>
      </c>
      <c r="D1034" s="36">
        <v>536</v>
      </c>
      <c r="E1034" s="101" t="str">
        <f>IF(D1034&lt;=0,"",VLOOKUP(D1034,[8]FF!A:D,2,0))</f>
        <v>FONE Ramo 33</v>
      </c>
      <c r="F1034" s="37" t="s">
        <v>616</v>
      </c>
      <c r="G1034" s="37" t="s">
        <v>461</v>
      </c>
      <c r="H1034" s="38">
        <v>211001</v>
      </c>
      <c r="I1034" s="104" t="str">
        <f>IF(H1034&lt;=0,"",VLOOKUP(H1034,[8]COG!A:H,2,0))</f>
        <v>Material de oficina</v>
      </c>
      <c r="J1034" s="40">
        <v>3536245</v>
      </c>
      <c r="K1034" s="40">
        <v>2015968</v>
      </c>
      <c r="L1034" s="40">
        <v>1223179</v>
      </c>
      <c r="M1034" s="40">
        <v>903929</v>
      </c>
      <c r="N1034" s="1">
        <f>Tabla7[[#This Row],[TRIMESTRE  I]]+Tabla7[[#This Row],[TRIMESTRE II]]+Tabla7[[#This Row],[TRIMESTRE III]]+Tabla7[[#This Row],[TRIMESTRE IV]]</f>
        <v>7679321</v>
      </c>
      <c r="O1034" s="39" t="s">
        <v>5</v>
      </c>
      <c r="P1034" s="79">
        <v>45292</v>
      </c>
      <c r="Q1034" s="59" t="s">
        <v>617</v>
      </c>
    </row>
    <row r="1035" spans="2:17" ht="22.5" x14ac:dyDescent="0.2">
      <c r="B1035" s="34">
        <v>801</v>
      </c>
      <c r="C1035" s="35" t="s">
        <v>621</v>
      </c>
      <c r="D1035" s="36">
        <v>536</v>
      </c>
      <c r="E1035" s="101" t="str">
        <f>IF(D1035&lt;=0,"",VLOOKUP(D1035,[8]FF!A:D,2,0))</f>
        <v>FONE Ramo 33</v>
      </c>
      <c r="F1035" s="37" t="s">
        <v>616</v>
      </c>
      <c r="G1035" s="37" t="s">
        <v>461</v>
      </c>
      <c r="H1035" s="38">
        <v>212001</v>
      </c>
      <c r="I1035" s="104" t="str">
        <f>IF(H1035&lt;=0,"",VLOOKUP(H1035,[8]COG!A:H,2,0))</f>
        <v>Material y útiles de impresión</v>
      </c>
      <c r="J1035" s="40">
        <v>670300</v>
      </c>
      <c r="K1035" s="40">
        <v>321500</v>
      </c>
      <c r="L1035" s="40">
        <v>158000</v>
      </c>
      <c r="M1035" s="40">
        <v>0</v>
      </c>
      <c r="N1035" s="1">
        <f>Tabla7[[#This Row],[TRIMESTRE  I]]+Tabla7[[#This Row],[TRIMESTRE II]]+Tabla7[[#This Row],[TRIMESTRE III]]+Tabla7[[#This Row],[TRIMESTRE IV]]</f>
        <v>1149800</v>
      </c>
      <c r="O1035" s="39" t="s">
        <v>7</v>
      </c>
      <c r="P1035" s="79">
        <v>45352</v>
      </c>
      <c r="Q1035" s="59" t="s">
        <v>618</v>
      </c>
    </row>
    <row r="1036" spans="2:17" ht="36" x14ac:dyDescent="0.2">
      <c r="B1036" s="34">
        <v>801</v>
      </c>
      <c r="C1036" s="35" t="s">
        <v>621</v>
      </c>
      <c r="D1036" s="36">
        <v>536</v>
      </c>
      <c r="E1036" s="101" t="str">
        <f>IF(D1036&lt;=0,"",VLOOKUP(D1036,[8]FF!A:D,2,0))</f>
        <v>FONE Ramo 33</v>
      </c>
      <c r="F1036" s="37" t="s">
        <v>616</v>
      </c>
      <c r="G1036" s="37" t="s">
        <v>461</v>
      </c>
      <c r="H1036" s="38">
        <v>214001</v>
      </c>
      <c r="I1036" s="104" t="str">
        <f>IF(H1036&lt;=0,"",VLOOKUP(H1036,[8]COG!A:H,2,0))</f>
        <v>Materiales, útiles y equipos menores de tecnologías de la información y comunicaciones</v>
      </c>
      <c r="J1036" s="40">
        <v>1026200</v>
      </c>
      <c r="K1036" s="40">
        <v>469300</v>
      </c>
      <c r="L1036" s="40">
        <v>190000</v>
      </c>
      <c r="M1036" s="40">
        <v>0</v>
      </c>
      <c r="N1036" s="1">
        <f>Tabla7[[#This Row],[TRIMESTRE  I]]+Tabla7[[#This Row],[TRIMESTRE II]]+Tabla7[[#This Row],[TRIMESTRE III]]+Tabla7[[#This Row],[TRIMESTRE IV]]</f>
        <v>1685500</v>
      </c>
      <c r="O1036" s="39" t="s">
        <v>7</v>
      </c>
      <c r="P1036" s="79">
        <v>45352</v>
      </c>
      <c r="Q1036" s="59" t="s">
        <v>618</v>
      </c>
    </row>
    <row r="1037" spans="2:17" ht="24" x14ac:dyDescent="0.2">
      <c r="B1037" s="34">
        <v>801</v>
      </c>
      <c r="C1037" s="35" t="s">
        <v>621</v>
      </c>
      <c r="D1037" s="36">
        <v>536</v>
      </c>
      <c r="E1037" s="101" t="str">
        <f>IF(D1037&lt;=0,"",VLOOKUP(D1037,[8]FF!A:D,2,0))</f>
        <v>FONE Ramo 33</v>
      </c>
      <c r="F1037" s="37" t="s">
        <v>616</v>
      </c>
      <c r="G1037" s="37" t="s">
        <v>461</v>
      </c>
      <c r="H1037" s="38">
        <v>215003</v>
      </c>
      <c r="I1037" s="104" t="str">
        <f>IF(H1037&lt;=0,"",VLOOKUP(H1037,[8]COG!A:H,2,0))</f>
        <v>Material impreso e información digital</v>
      </c>
      <c r="J1037" s="40">
        <v>200000</v>
      </c>
      <c r="K1037" s="40">
        <v>0</v>
      </c>
      <c r="L1037" s="40">
        <v>0</v>
      </c>
      <c r="M1037" s="40">
        <v>0</v>
      </c>
      <c r="N1037" s="1">
        <f>Tabla7[[#This Row],[TRIMESTRE  I]]+Tabla7[[#This Row],[TRIMESTRE II]]+Tabla7[[#This Row],[TRIMESTRE III]]+Tabla7[[#This Row],[TRIMESTRE IV]]</f>
        <v>200000</v>
      </c>
      <c r="O1037" s="39" t="s">
        <v>6</v>
      </c>
      <c r="P1037" s="79">
        <v>45352</v>
      </c>
      <c r="Q1037" s="59" t="s">
        <v>619</v>
      </c>
    </row>
    <row r="1038" spans="2:17" ht="22.5" x14ac:dyDescent="0.2">
      <c r="B1038" s="34">
        <v>801</v>
      </c>
      <c r="C1038" s="35" t="s">
        <v>621</v>
      </c>
      <c r="D1038" s="36">
        <v>536</v>
      </c>
      <c r="E1038" s="101" t="str">
        <f>IF(D1038&lt;=0,"",VLOOKUP(D1038,[8]FF!A:D,2,0))</f>
        <v>FONE Ramo 33</v>
      </c>
      <c r="F1038" s="37" t="s">
        <v>616</v>
      </c>
      <c r="G1038" s="37" t="s">
        <v>461</v>
      </c>
      <c r="H1038" s="38">
        <v>216001</v>
      </c>
      <c r="I1038" s="104" t="str">
        <f>IF(H1038&lt;=0,"",VLOOKUP(H1038,[8]COG!A:H,2,0))</f>
        <v>Material de limpieza</v>
      </c>
      <c r="J1038" s="40">
        <v>2197100</v>
      </c>
      <c r="K1038" s="40">
        <v>643000</v>
      </c>
      <c r="L1038" s="40">
        <v>340000</v>
      </c>
      <c r="M1038" s="40">
        <v>29900</v>
      </c>
      <c r="N1038" s="1">
        <f>Tabla7[[#This Row],[TRIMESTRE  I]]+Tabla7[[#This Row],[TRIMESTRE II]]+Tabla7[[#This Row],[TRIMESTRE III]]+Tabla7[[#This Row],[TRIMESTRE IV]]</f>
        <v>3210000</v>
      </c>
      <c r="O1038" s="39" t="s">
        <v>5</v>
      </c>
      <c r="P1038" s="79">
        <v>45292</v>
      </c>
      <c r="Q1038" s="59" t="s">
        <v>617</v>
      </c>
    </row>
    <row r="1039" spans="2:17" ht="22.5" x14ac:dyDescent="0.2">
      <c r="B1039" s="34">
        <v>801</v>
      </c>
      <c r="C1039" s="35" t="s">
        <v>621</v>
      </c>
      <c r="D1039" s="36">
        <v>536</v>
      </c>
      <c r="E1039" s="101" t="str">
        <f>IF(D1039&lt;=0,"",VLOOKUP(D1039,[8]FF!A:D,2,0))</f>
        <v>FONE Ramo 33</v>
      </c>
      <c r="F1039" s="37" t="s">
        <v>616</v>
      </c>
      <c r="G1039" s="37" t="s">
        <v>461</v>
      </c>
      <c r="H1039" s="38">
        <v>221001</v>
      </c>
      <c r="I1039" s="104" t="str">
        <f>IF(H1039&lt;=0,"",VLOOKUP(H1039,[8]COG!A:H,2,0))</f>
        <v>Alimentación de personas</v>
      </c>
      <c r="J1039" s="40">
        <v>5976292</v>
      </c>
      <c r="K1039" s="40">
        <v>5097094</v>
      </c>
      <c r="L1039" s="40">
        <v>3443454</v>
      </c>
      <c r="M1039" s="40">
        <v>5021635</v>
      </c>
      <c r="N1039" s="1">
        <f>Tabla7[[#This Row],[TRIMESTRE  I]]+Tabla7[[#This Row],[TRIMESTRE II]]+Tabla7[[#This Row],[TRIMESTRE III]]+Tabla7[[#This Row],[TRIMESTRE IV]]</f>
        <v>19538475</v>
      </c>
      <c r="O1039" s="39" t="s">
        <v>7</v>
      </c>
      <c r="P1039" s="79">
        <v>45352</v>
      </c>
      <c r="Q1039" s="59" t="s">
        <v>618</v>
      </c>
    </row>
    <row r="1040" spans="2:17" ht="22.5" x14ac:dyDescent="0.2">
      <c r="B1040" s="34">
        <v>801</v>
      </c>
      <c r="C1040" s="35" t="s">
        <v>621</v>
      </c>
      <c r="D1040" s="36">
        <v>536</v>
      </c>
      <c r="E1040" s="101" t="str">
        <f>IF(D1040&lt;=0,"",VLOOKUP(D1040,[8]FF!A:D,2,0))</f>
        <v>FONE Ramo 33</v>
      </c>
      <c r="F1040" s="37" t="s">
        <v>616</v>
      </c>
      <c r="G1040" s="37" t="s">
        <v>461</v>
      </c>
      <c r="H1040" s="38">
        <v>261001</v>
      </c>
      <c r="I1040" s="104" t="str">
        <f>IF(H1040&lt;=0,"",VLOOKUP(H1040,[8]COG!A:H,2,0))</f>
        <v>Combustibles</v>
      </c>
      <c r="J1040" s="40">
        <v>4402572</v>
      </c>
      <c r="K1040" s="40">
        <v>1517245</v>
      </c>
      <c r="L1040" s="40">
        <v>1625658</v>
      </c>
      <c r="M1040" s="40">
        <v>585700</v>
      </c>
      <c r="N1040" s="1">
        <f>Tabla7[[#This Row],[TRIMESTRE  I]]+Tabla7[[#This Row],[TRIMESTRE II]]+Tabla7[[#This Row],[TRIMESTRE III]]+Tabla7[[#This Row],[TRIMESTRE IV]]</f>
        <v>8131175</v>
      </c>
      <c r="O1040" s="39" t="s">
        <v>5</v>
      </c>
      <c r="P1040" s="79">
        <v>45292</v>
      </c>
      <c r="Q1040" s="59" t="s">
        <v>617</v>
      </c>
    </row>
    <row r="1041" spans="2:17" ht="24" x14ac:dyDescent="0.2">
      <c r="B1041" s="34">
        <v>801</v>
      </c>
      <c r="C1041" s="35" t="s">
        <v>621</v>
      </c>
      <c r="D1041" s="36">
        <v>536</v>
      </c>
      <c r="E1041" s="101" t="str">
        <f>IF(D1041&lt;=0,"",VLOOKUP(D1041,[8]FF!A:D,2,0))</f>
        <v>FONE Ramo 33</v>
      </c>
      <c r="F1041" s="37" t="s">
        <v>616</v>
      </c>
      <c r="G1041" s="37" t="s">
        <v>461</v>
      </c>
      <c r="H1041" s="38">
        <v>272002</v>
      </c>
      <c r="I1041" s="104" t="str">
        <f>IF(H1041&lt;=0,"",VLOOKUP(H1041,[8]COG!A:H,2,0))</f>
        <v>Prendas de seguridad y protección personal</v>
      </c>
      <c r="J1041" s="40">
        <v>21000</v>
      </c>
      <c r="K1041" s="40">
        <v>21000</v>
      </c>
      <c r="L1041" s="40">
        <v>21000</v>
      </c>
      <c r="M1041" s="40">
        <v>17000</v>
      </c>
      <c r="N1041" s="1">
        <f>Tabla7[[#This Row],[TRIMESTRE  I]]+Tabla7[[#This Row],[TRIMESTRE II]]+Tabla7[[#This Row],[TRIMESTRE III]]+Tabla7[[#This Row],[TRIMESTRE IV]]</f>
        <v>80000</v>
      </c>
      <c r="O1041" s="39" t="s">
        <v>6</v>
      </c>
      <c r="P1041" s="79">
        <v>45352</v>
      </c>
      <c r="Q1041" s="59" t="s">
        <v>619</v>
      </c>
    </row>
    <row r="1042" spans="2:17" ht="24" x14ac:dyDescent="0.2">
      <c r="B1042" s="34">
        <v>801</v>
      </c>
      <c r="C1042" s="35" t="s">
        <v>621</v>
      </c>
      <c r="D1042" s="36">
        <v>536</v>
      </c>
      <c r="E1042" s="101" t="str">
        <f>IF(D1042&lt;=0,"",VLOOKUP(D1042,[8]FF!A:D,2,0))</f>
        <v>FONE Ramo 33</v>
      </c>
      <c r="F1042" s="37" t="s">
        <v>616</v>
      </c>
      <c r="G1042" s="37" t="s">
        <v>461</v>
      </c>
      <c r="H1042" s="38">
        <v>291001</v>
      </c>
      <c r="I1042" s="104" t="str">
        <f>IF(H1042&lt;=0,"",VLOOKUP(H1042,[8]COG!A:H,2,0))</f>
        <v>Herramientas Auxiliares de Trabajo</v>
      </c>
      <c r="J1042" s="40">
        <v>30000</v>
      </c>
      <c r="K1042" s="40">
        <v>30000</v>
      </c>
      <c r="L1042" s="40">
        <v>30000</v>
      </c>
      <c r="M1042" s="40">
        <v>0</v>
      </c>
      <c r="N1042" s="1">
        <f>Tabla7[[#This Row],[TRIMESTRE  I]]+Tabla7[[#This Row],[TRIMESTRE II]]+Tabla7[[#This Row],[TRIMESTRE III]]+Tabla7[[#This Row],[TRIMESTRE IV]]</f>
        <v>90000</v>
      </c>
      <c r="O1042" s="39" t="s">
        <v>6</v>
      </c>
      <c r="P1042" s="79">
        <v>45352</v>
      </c>
      <c r="Q1042" s="59" t="s">
        <v>619</v>
      </c>
    </row>
    <row r="1043" spans="2:17" ht="24" x14ac:dyDescent="0.2">
      <c r="B1043" s="34">
        <v>801</v>
      </c>
      <c r="C1043" s="35" t="s">
        <v>621</v>
      </c>
      <c r="D1043" s="36">
        <v>536</v>
      </c>
      <c r="E1043" s="101" t="str">
        <f>IF(D1043&lt;=0,"",VLOOKUP(D1043,[8]FF!A:D,2,0))</f>
        <v>FONE Ramo 33</v>
      </c>
      <c r="F1043" s="37" t="s">
        <v>616</v>
      </c>
      <c r="G1043" s="37" t="s">
        <v>461</v>
      </c>
      <c r="H1043" s="38">
        <v>294001</v>
      </c>
      <c r="I1043" s="104" t="str">
        <f>IF(H1043&lt;=0,"",VLOOKUP(H1043,[8]COG!A:H,2,0))</f>
        <v>Dispositivos Internos y Externos de Equipo de Computo</v>
      </c>
      <c r="J1043" s="40">
        <v>431800</v>
      </c>
      <c r="K1043" s="40">
        <v>122000</v>
      </c>
      <c r="L1043" s="40">
        <v>56000</v>
      </c>
      <c r="M1043" s="40">
        <v>0</v>
      </c>
      <c r="N1043" s="1">
        <f>Tabla7[[#This Row],[TRIMESTRE  I]]+Tabla7[[#This Row],[TRIMESTRE II]]+Tabla7[[#This Row],[TRIMESTRE III]]+Tabla7[[#This Row],[TRIMESTRE IV]]</f>
        <v>609800</v>
      </c>
      <c r="O1043" s="39" t="s">
        <v>15</v>
      </c>
      <c r="P1043" s="79">
        <v>45352</v>
      </c>
      <c r="Q1043" s="59" t="s">
        <v>620</v>
      </c>
    </row>
    <row r="1044" spans="2:17" ht="24" x14ac:dyDescent="0.2">
      <c r="B1044" s="34">
        <v>801</v>
      </c>
      <c r="C1044" s="35" t="s">
        <v>621</v>
      </c>
      <c r="D1044" s="36">
        <v>536</v>
      </c>
      <c r="E1044" s="101" t="str">
        <f>IF(D1044&lt;=0,"",VLOOKUP(D1044,[8]FF!A:D,2,0))</f>
        <v>FONE Ramo 33</v>
      </c>
      <c r="F1044" s="37" t="s">
        <v>616</v>
      </c>
      <c r="G1044" s="37" t="s">
        <v>461</v>
      </c>
      <c r="H1044" s="38">
        <v>294002</v>
      </c>
      <c r="I1044" s="104" t="str">
        <f>IF(H1044&lt;=0,"",VLOOKUP(H1044,[8]COG!A:H,2,0))</f>
        <v>Refacciones y Accesorios Menores de Equipo de Computo</v>
      </c>
      <c r="J1044" s="40">
        <v>304150</v>
      </c>
      <c r="K1044" s="40">
        <v>50550</v>
      </c>
      <c r="L1044" s="40">
        <v>11000</v>
      </c>
      <c r="M1044" s="40">
        <v>0</v>
      </c>
      <c r="N1044" s="1">
        <f>Tabla7[[#This Row],[TRIMESTRE  I]]+Tabla7[[#This Row],[TRIMESTRE II]]+Tabla7[[#This Row],[TRIMESTRE III]]+Tabla7[[#This Row],[TRIMESTRE IV]]</f>
        <v>365700</v>
      </c>
      <c r="O1044" s="39" t="s">
        <v>15</v>
      </c>
      <c r="P1044" s="79">
        <v>45352</v>
      </c>
      <c r="Q1044" s="59" t="s">
        <v>620</v>
      </c>
    </row>
    <row r="1045" spans="2:17" ht="22.5" x14ac:dyDescent="0.2">
      <c r="B1045" s="34">
        <v>801</v>
      </c>
      <c r="C1045" s="35" t="s">
        <v>621</v>
      </c>
      <c r="D1045" s="48">
        <v>536</v>
      </c>
      <c r="E1045" s="101" t="str">
        <f>IF(D1045&lt;=0,"",VLOOKUP(D1045,[8]FF!A:D,2,0))</f>
        <v>FONE Ramo 33</v>
      </c>
      <c r="F1045" s="37" t="s">
        <v>616</v>
      </c>
      <c r="G1045" s="37" t="s">
        <v>461</v>
      </c>
      <c r="H1045" s="49">
        <v>246001</v>
      </c>
      <c r="I1045" s="104" t="str">
        <f>IF(H1045&lt;=0,"",VLOOKUP(H1045,[8]COG!A:H,2,0))</f>
        <v>Material eléctrico</v>
      </c>
      <c r="J1045" s="51">
        <v>120000</v>
      </c>
      <c r="K1045" s="51">
        <v>120000</v>
      </c>
      <c r="L1045" s="51">
        <v>120000</v>
      </c>
      <c r="M1045" s="51">
        <v>120000</v>
      </c>
      <c r="N1045" s="1">
        <f>Tabla7[[#This Row],[TRIMESTRE  I]]+Tabla7[[#This Row],[TRIMESTRE II]]+Tabla7[[#This Row],[TRIMESTRE III]]+Tabla7[[#This Row],[TRIMESTRE IV]]</f>
        <v>480000</v>
      </c>
      <c r="O1045" s="39" t="s">
        <v>15</v>
      </c>
      <c r="P1045" s="79">
        <v>45352</v>
      </c>
      <c r="Q1045" s="59" t="s">
        <v>620</v>
      </c>
    </row>
    <row r="1046" spans="2:17" x14ac:dyDescent="0.2">
      <c r="B1046" s="34"/>
      <c r="C1046" s="35"/>
      <c r="D1046" s="36"/>
      <c r="E1046" s="4"/>
      <c r="F1046" s="37"/>
      <c r="G1046" s="37"/>
      <c r="H1046" s="38"/>
      <c r="I1046" s="53"/>
      <c r="J1046" s="40"/>
      <c r="K1046" s="40"/>
      <c r="L1046" s="40"/>
      <c r="M1046" s="40"/>
      <c r="N1046" s="1">
        <f>SUBTOTAL(109,Tabla7[[PRESUPUESTO ANUAL AUTORIZADO ]])</f>
        <v>50450030</v>
      </c>
      <c r="O1046" s="39"/>
      <c r="P1046" s="79"/>
      <c r="Q1046" s="59"/>
    </row>
    <row r="1047" spans="2:17" x14ac:dyDescent="0.2">
      <c r="B1047" s="34"/>
      <c r="C1047" s="35"/>
      <c r="D1047" s="48"/>
      <c r="E1047" s="54"/>
      <c r="F1047" s="37"/>
      <c r="G1047" s="37"/>
      <c r="H1047" s="49"/>
      <c r="I1047" s="53"/>
      <c r="J1047" s="51"/>
      <c r="K1047" s="51"/>
      <c r="L1047" s="51"/>
      <c r="M1047" s="51"/>
      <c r="N1047" s="1"/>
      <c r="O1047" s="39"/>
      <c r="P1047" s="79"/>
      <c r="Q1047" s="59"/>
    </row>
    <row r="1048" spans="2:17" x14ac:dyDescent="0.2">
      <c r="B1048" s="34"/>
      <c r="C1048" s="35"/>
      <c r="D1048" s="48"/>
      <c r="E1048" s="54"/>
      <c r="F1048" s="37"/>
      <c r="G1048" s="37"/>
      <c r="H1048" s="49"/>
      <c r="I1048" s="53"/>
      <c r="J1048" s="51"/>
      <c r="K1048" s="51"/>
      <c r="L1048" s="51"/>
      <c r="M1048" s="51"/>
      <c r="N1048" s="1"/>
      <c r="O1048" s="39"/>
      <c r="P1048" s="79"/>
      <c r="Q1048" s="59"/>
    </row>
    <row r="1049" spans="2:17" ht="23.25" x14ac:dyDescent="0.2">
      <c r="B1049" s="111" t="s">
        <v>4</v>
      </c>
      <c r="C1049" s="111"/>
      <c r="D1049" s="111"/>
      <c r="E1049" s="111"/>
      <c r="F1049" s="111"/>
      <c r="G1049" s="111"/>
      <c r="H1049" s="111"/>
      <c r="I1049" s="111"/>
      <c r="J1049" s="111"/>
      <c r="K1049" s="111"/>
      <c r="L1049" s="111"/>
      <c r="M1049" s="111"/>
      <c r="N1049" s="111"/>
      <c r="O1049" s="111"/>
      <c r="P1049" s="111"/>
      <c r="Q1049" s="111"/>
    </row>
    <row r="1050" spans="2:17" ht="23.25" x14ac:dyDescent="0.2">
      <c r="B1050" s="109" t="s">
        <v>745</v>
      </c>
      <c r="C1050" s="109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9"/>
      <c r="O1050" s="109"/>
      <c r="P1050" s="109"/>
      <c r="Q1050" s="109"/>
    </row>
    <row r="1051" spans="2:17" s="90" customFormat="1" ht="23.25" x14ac:dyDescent="0.2">
      <c r="B1051" s="110" t="s">
        <v>466</v>
      </c>
      <c r="C1051" s="110"/>
      <c r="D1051" s="110"/>
      <c r="E1051" s="110"/>
      <c r="F1051" s="110"/>
      <c r="G1051" s="110"/>
      <c r="H1051" s="110"/>
      <c r="I1051" s="110"/>
      <c r="J1051" s="110"/>
      <c r="K1051" s="110"/>
      <c r="L1051" s="110"/>
      <c r="M1051" s="110"/>
      <c r="N1051" s="110"/>
      <c r="O1051" s="110"/>
      <c r="P1051" s="110"/>
      <c r="Q1051" s="110"/>
    </row>
    <row r="1052" spans="2:17" ht="45" x14ac:dyDescent="0.2">
      <c r="B1052" s="5" t="s">
        <v>9</v>
      </c>
      <c r="C1052" s="5" t="s">
        <v>10</v>
      </c>
      <c r="D1052" s="5" t="s">
        <v>1</v>
      </c>
      <c r="E1052" s="5" t="s">
        <v>0</v>
      </c>
      <c r="F1052" s="78" t="s">
        <v>17</v>
      </c>
      <c r="G1052" s="5" t="s">
        <v>2</v>
      </c>
      <c r="H1052" s="5" t="s">
        <v>11</v>
      </c>
      <c r="I1052" s="5" t="s">
        <v>16</v>
      </c>
      <c r="J1052" s="5" t="s">
        <v>465</v>
      </c>
      <c r="K1052" s="5" t="s">
        <v>462</v>
      </c>
      <c r="L1052" s="5" t="s">
        <v>463</v>
      </c>
      <c r="M1052" s="5" t="s">
        <v>464</v>
      </c>
      <c r="N1052" s="5" t="s">
        <v>12</v>
      </c>
      <c r="O1052" s="5" t="s">
        <v>3</v>
      </c>
      <c r="P1052" s="5" t="s">
        <v>13</v>
      </c>
      <c r="Q1052" s="5" t="s">
        <v>8</v>
      </c>
    </row>
    <row r="1053" spans="2:17" ht="22.5" x14ac:dyDescent="0.2">
      <c r="B1053" s="34">
        <v>1300000</v>
      </c>
      <c r="C1053" s="97" t="s">
        <v>622</v>
      </c>
      <c r="D1053" s="36">
        <v>530</v>
      </c>
      <c r="E1053" s="42" t="str">
        <f>IF(D1053&lt;=0,"",VLOOKUP(D1053,[9]FF!A:D,2,0))</f>
        <v>PARTICIPACIONES Ramo 28</v>
      </c>
      <c r="F1053" s="37" t="s">
        <v>623</v>
      </c>
      <c r="G1053" s="37" t="s">
        <v>461</v>
      </c>
      <c r="H1053" s="38">
        <v>211001</v>
      </c>
      <c r="I1053" s="41" t="str">
        <f>IF(H1053&lt;=0,"",VLOOKUP(H1053,[9]COG!A:H,2,0))</f>
        <v>Material de oficina</v>
      </c>
      <c r="J1053" s="39">
        <f>2270+5505+6954+536+1848+998+765+1488+1275+850+3335+1656</f>
        <v>27480</v>
      </c>
      <c r="K1053" s="39">
        <f>12141+13114+14323</f>
        <v>39578</v>
      </c>
      <c r="L1053" s="39">
        <f>12075+13843+13117</f>
        <v>39035</v>
      </c>
      <c r="M1053" s="39">
        <f>13640+12063+6162</f>
        <v>31865</v>
      </c>
      <c r="N1053" s="1">
        <f>Tabla8[[#This Row],[TRIMESTRE  I]]+Tabla8[[#This Row],[TRIMESTRE II]]+Tabla8[[#This Row],[TRIMESTRE III]]+Tabla8[[#This Row],[TRIMESTRE IV]]</f>
        <v>137958</v>
      </c>
      <c r="O1053" s="39" t="s">
        <v>5</v>
      </c>
      <c r="P1053" s="79" t="s">
        <v>624</v>
      </c>
      <c r="Q1053" s="59" t="s">
        <v>486</v>
      </c>
    </row>
    <row r="1054" spans="2:17" ht="22.5" x14ac:dyDescent="0.2">
      <c r="B1054" s="34">
        <v>1300000</v>
      </c>
      <c r="C1054" s="97" t="s">
        <v>622</v>
      </c>
      <c r="D1054" s="36">
        <v>530</v>
      </c>
      <c r="E1054" s="42" t="str">
        <f>IF(D1054&lt;=0,"",VLOOKUP(D1054,[9]FF!A:D,2,0))</f>
        <v>PARTICIPACIONES Ramo 28</v>
      </c>
      <c r="F1054" s="37" t="s">
        <v>623</v>
      </c>
      <c r="G1054" s="37" t="s">
        <v>461</v>
      </c>
      <c r="H1054" s="38">
        <v>212001</v>
      </c>
      <c r="I1054" s="41" t="str">
        <f>IF(H1054&lt;=0,"",VLOOKUP(H1054,[9]COG!A:H,2,0))</f>
        <v>Material y útiles de impresión</v>
      </c>
      <c r="J1054" s="39">
        <f>9130+7730</f>
        <v>16860</v>
      </c>
      <c r="K1054" s="39">
        <f>10822+7103+7546</f>
        <v>25471</v>
      </c>
      <c r="L1054" s="39">
        <f>9459+6266+6112</f>
        <v>21837</v>
      </c>
      <c r="M1054" s="39">
        <f>10337+10060+10</f>
        <v>20407</v>
      </c>
      <c r="N1054" s="1">
        <f>Tabla8[[#This Row],[TRIMESTRE  I]]+Tabla8[[#This Row],[TRIMESTRE II]]+Tabla8[[#This Row],[TRIMESTRE III]]+Tabla8[[#This Row],[TRIMESTRE IV]]</f>
        <v>84575</v>
      </c>
      <c r="O1054" s="39" t="s">
        <v>6</v>
      </c>
      <c r="P1054" s="79">
        <v>45324</v>
      </c>
      <c r="Q1054" s="59" t="s">
        <v>625</v>
      </c>
    </row>
    <row r="1055" spans="2:17" ht="27" x14ac:dyDescent="0.2">
      <c r="B1055" s="34">
        <v>1300000</v>
      </c>
      <c r="C1055" s="97" t="s">
        <v>622</v>
      </c>
      <c r="D1055" s="36">
        <v>530</v>
      </c>
      <c r="E1055" s="42" t="str">
        <f>IF(D1055&lt;=0,"",VLOOKUP(D1055,[9]FF!A:D,2,0))</f>
        <v>PARTICIPACIONES Ramo 28</v>
      </c>
      <c r="F1055" s="37" t="s">
        <v>623</v>
      </c>
      <c r="G1055" s="37" t="s">
        <v>461</v>
      </c>
      <c r="H1055" s="38">
        <v>214001</v>
      </c>
      <c r="I1055" s="41" t="str">
        <f>IF(H1055&lt;=0,"",VLOOKUP(H1055,[9]COG!A:H,2,0))</f>
        <v>Materiales, útiles y equipos menores de tecnologías de la información y comunicaciones</v>
      </c>
      <c r="J1055" s="39">
        <f>2550+4850+4506</f>
        <v>11906</v>
      </c>
      <c r="K1055" s="39">
        <f>13773+11723+14539</f>
        <v>40035</v>
      </c>
      <c r="L1055" s="39">
        <f>7066+6335+8409</f>
        <v>21810</v>
      </c>
      <c r="M1055" s="39">
        <f>6335+6409+7485</f>
        <v>20229</v>
      </c>
      <c r="N1055" s="1">
        <f>Tabla8[[#This Row],[TRIMESTRE  I]]+Tabla8[[#This Row],[TRIMESTRE II]]+Tabla8[[#This Row],[TRIMESTRE III]]+Tabla8[[#This Row],[TRIMESTRE IV]]</f>
        <v>93980</v>
      </c>
      <c r="O1055" s="39" t="s">
        <v>6</v>
      </c>
      <c r="P1055" s="79">
        <v>45324</v>
      </c>
      <c r="Q1055" s="59" t="s">
        <v>625</v>
      </c>
    </row>
    <row r="1056" spans="2:17" ht="22.5" x14ac:dyDescent="0.2">
      <c r="B1056" s="34">
        <v>1300000</v>
      </c>
      <c r="C1056" s="97" t="s">
        <v>622</v>
      </c>
      <c r="D1056" s="36">
        <v>530</v>
      </c>
      <c r="E1056" s="42" t="str">
        <f>IF(D1056&lt;=0,"",VLOOKUP(D1056,[9]FF!A:D,2,0))</f>
        <v>PARTICIPACIONES Ramo 28</v>
      </c>
      <c r="F1056" s="37" t="s">
        <v>623</v>
      </c>
      <c r="G1056" s="37" t="s">
        <v>461</v>
      </c>
      <c r="H1056" s="38">
        <v>215001</v>
      </c>
      <c r="I1056" s="41" t="str">
        <f>IF(H1056&lt;=0,"",VLOOKUP(H1056,[9]COG!A:H,2,0))</f>
        <v>Material didáctico</v>
      </c>
      <c r="J1056" s="39">
        <f>1675+4008</f>
        <v>5683</v>
      </c>
      <c r="K1056" s="39">
        <f>3241+3652+1602</f>
        <v>8495</v>
      </c>
      <c r="L1056" s="39">
        <f>3275+3591+3240</f>
        <v>10106</v>
      </c>
      <c r="M1056" s="39">
        <f>3131+2698+1777</f>
        <v>7606</v>
      </c>
      <c r="N1056" s="1">
        <f>Tabla8[[#This Row],[TRIMESTRE  I]]+Tabla8[[#This Row],[TRIMESTRE II]]+Tabla8[[#This Row],[TRIMESTRE III]]+Tabla8[[#This Row],[TRIMESTRE IV]]</f>
        <v>31890</v>
      </c>
      <c r="O1056" s="39" t="s">
        <v>6</v>
      </c>
      <c r="P1056" s="79">
        <v>45324</v>
      </c>
      <c r="Q1056" s="59" t="s">
        <v>625</v>
      </c>
    </row>
    <row r="1057" spans="2:17" ht="22.5" x14ac:dyDescent="0.2">
      <c r="B1057" s="34">
        <v>1300000</v>
      </c>
      <c r="C1057" s="97" t="s">
        <v>622</v>
      </c>
      <c r="D1057" s="36">
        <v>530</v>
      </c>
      <c r="E1057" s="42" t="str">
        <f>IF(D1057&lt;=0,"",VLOOKUP(D1057,[9]FF!A:D,2,0))</f>
        <v>PARTICIPACIONES Ramo 28</v>
      </c>
      <c r="F1057" s="37" t="s">
        <v>623</v>
      </c>
      <c r="G1057" s="37" t="s">
        <v>461</v>
      </c>
      <c r="H1057" s="38">
        <v>215002</v>
      </c>
      <c r="I1057" s="41" t="str">
        <f>IF(H1057&lt;=0,"",VLOOKUP(H1057,[9]COG!A:H,2,0))</f>
        <v>Suscripciones a Periódicos, Revistas y Publicaciones Especializadas</v>
      </c>
      <c r="J1057" s="39">
        <f>108+300</f>
        <v>408</v>
      </c>
      <c r="K1057" s="39">
        <f>300+300+262</f>
        <v>862</v>
      </c>
      <c r="L1057" s="39">
        <f>200+200+200</f>
        <v>600</v>
      </c>
      <c r="M1057" s="39">
        <f>200*3</f>
        <v>600</v>
      </c>
      <c r="N1057" s="1">
        <f>Tabla8[[#This Row],[TRIMESTRE  I]]+Tabla8[[#This Row],[TRIMESTRE II]]+Tabla8[[#This Row],[TRIMESTRE III]]+Tabla8[[#This Row],[TRIMESTRE IV]]</f>
        <v>2470</v>
      </c>
      <c r="O1057" s="39" t="s">
        <v>6</v>
      </c>
      <c r="P1057" s="79">
        <v>45324</v>
      </c>
      <c r="Q1057" s="59" t="s">
        <v>625</v>
      </c>
    </row>
    <row r="1058" spans="2:17" ht="22.5" x14ac:dyDescent="0.2">
      <c r="B1058" s="34">
        <v>1300000</v>
      </c>
      <c r="C1058" s="97" t="s">
        <v>622</v>
      </c>
      <c r="D1058" s="36">
        <v>530</v>
      </c>
      <c r="E1058" s="42" t="str">
        <f>IF(D1058&lt;=0,"",VLOOKUP(D1058,[9]FF!A:D,2,0))</f>
        <v>PARTICIPACIONES Ramo 28</v>
      </c>
      <c r="F1058" s="37" t="s">
        <v>623</v>
      </c>
      <c r="G1058" s="37" t="s">
        <v>461</v>
      </c>
      <c r="H1058" s="38">
        <v>215003</v>
      </c>
      <c r="I1058" s="41" t="str">
        <f>IF(H1058&lt;=0,"",VLOOKUP(H1058,[9]COG!A:H,2,0))</f>
        <v>Material impreso e información digital</v>
      </c>
      <c r="J1058" s="39">
        <f>3230+2579</f>
        <v>5809</v>
      </c>
      <c r="K1058" s="39">
        <f>0</f>
        <v>0</v>
      </c>
      <c r="L1058" s="39">
        <f>0</f>
        <v>0</v>
      </c>
      <c r="M1058" s="39">
        <f>0</f>
        <v>0</v>
      </c>
      <c r="N1058" s="1">
        <f>Tabla8[[#This Row],[TRIMESTRE  I]]+Tabla8[[#This Row],[TRIMESTRE II]]+Tabla8[[#This Row],[TRIMESTRE III]]+Tabla8[[#This Row],[TRIMESTRE IV]]</f>
        <v>5809</v>
      </c>
      <c r="O1058" s="39" t="s">
        <v>6</v>
      </c>
      <c r="P1058" s="79">
        <v>45324</v>
      </c>
      <c r="Q1058" s="59" t="s">
        <v>625</v>
      </c>
    </row>
    <row r="1059" spans="2:17" ht="22.5" x14ac:dyDescent="0.2">
      <c r="B1059" s="34">
        <v>1300000</v>
      </c>
      <c r="C1059" s="97" t="s">
        <v>622</v>
      </c>
      <c r="D1059" s="36">
        <v>530</v>
      </c>
      <c r="E1059" s="42" t="str">
        <f>IF(D1059&lt;=0,"",VLOOKUP(D1059,[9]FF!A:D,2,0))</f>
        <v>PARTICIPACIONES Ramo 28</v>
      </c>
      <c r="F1059" s="37" t="s">
        <v>623</v>
      </c>
      <c r="G1059" s="37" t="s">
        <v>461</v>
      </c>
      <c r="H1059" s="38">
        <v>216001</v>
      </c>
      <c r="I1059" s="41" t="str">
        <f>IF(H1059&lt;=0,"",VLOOKUP(H1059,[9]COG!A:H,2,0))</f>
        <v>Material de limpieza</v>
      </c>
      <c r="J1059" s="39">
        <f>1290+4378+4115</f>
        <v>9783</v>
      </c>
      <c r="K1059" s="39">
        <f>5531+5233+3943</f>
        <v>14707</v>
      </c>
      <c r="L1059" s="39">
        <f>3330+3348+3768</f>
        <v>10446</v>
      </c>
      <c r="M1059" s="55">
        <f>3136+3932+2326</f>
        <v>9394</v>
      </c>
      <c r="N1059" s="1">
        <f>Tabla8[[#This Row],[TRIMESTRE  I]]+Tabla8[[#This Row],[TRIMESTRE II]]+Tabla8[[#This Row],[TRIMESTRE III]]+Tabla8[[#This Row],[TRIMESTRE IV]]</f>
        <v>44330</v>
      </c>
      <c r="O1059" s="39" t="s">
        <v>5</v>
      </c>
      <c r="P1059" s="79" t="s">
        <v>624</v>
      </c>
      <c r="Q1059" s="59" t="s">
        <v>486</v>
      </c>
    </row>
    <row r="1060" spans="2:17" ht="22.5" x14ac:dyDescent="0.2">
      <c r="B1060" s="34">
        <v>1300000</v>
      </c>
      <c r="C1060" s="97" t="s">
        <v>622</v>
      </c>
      <c r="D1060" s="36">
        <v>530</v>
      </c>
      <c r="E1060" s="42" t="str">
        <f>IF(D1060&lt;=0,"",VLOOKUP(D1060,[9]FF!A:D,2,0))</f>
        <v>PARTICIPACIONES Ramo 28</v>
      </c>
      <c r="F1060" s="37" t="s">
        <v>623</v>
      </c>
      <c r="G1060" s="37" t="s">
        <v>461</v>
      </c>
      <c r="H1060" s="38">
        <v>221001</v>
      </c>
      <c r="I1060" s="41" t="str">
        <f>IF(H1060&lt;=0,"",VLOOKUP(H1060,[9]COG!A:H,2,0))</f>
        <v>Alimentación de personas</v>
      </c>
      <c r="J1060" s="39">
        <f>800+3390+5256</f>
        <v>9446</v>
      </c>
      <c r="K1060" s="39">
        <f>8636+8393+9312</f>
        <v>26341</v>
      </c>
      <c r="L1060" s="39">
        <f>5504+5504+3682</f>
        <v>14690</v>
      </c>
      <c r="M1060" s="39">
        <f>4232+3232+2932</f>
        <v>10396</v>
      </c>
      <c r="N1060" s="1">
        <f>Tabla8[[#This Row],[TRIMESTRE  I]]+Tabla8[[#This Row],[TRIMESTRE II]]+Tabla8[[#This Row],[TRIMESTRE III]]+Tabla8[[#This Row],[TRIMESTRE IV]]</f>
        <v>60873</v>
      </c>
      <c r="O1060" s="39" t="s">
        <v>6</v>
      </c>
      <c r="P1060" s="79">
        <v>45324</v>
      </c>
      <c r="Q1060" s="59" t="s">
        <v>625</v>
      </c>
    </row>
    <row r="1061" spans="2:17" ht="22.5" x14ac:dyDescent="0.2">
      <c r="B1061" s="34">
        <v>1300000</v>
      </c>
      <c r="C1061" s="97" t="s">
        <v>622</v>
      </c>
      <c r="D1061" s="36">
        <v>530</v>
      </c>
      <c r="E1061" s="42" t="str">
        <f>IF(D1061&lt;=0,"",VLOOKUP(D1061,[9]FF!A:D,2,0))</f>
        <v>PARTICIPACIONES Ramo 28</v>
      </c>
      <c r="F1061" s="37" t="s">
        <v>623</v>
      </c>
      <c r="G1061" s="37" t="s">
        <v>461</v>
      </c>
      <c r="H1061" s="38">
        <v>223001</v>
      </c>
      <c r="I1061" s="41" t="str">
        <f>IF(H1061&lt;=0,"",VLOOKUP(H1061,[9]COG!A:H,2,0))</f>
        <v>Utensilios para el servicio de alimentación</v>
      </c>
      <c r="J1061" s="39">
        <v>573</v>
      </c>
      <c r="K1061" s="39">
        <f>0</f>
        <v>0</v>
      </c>
      <c r="L1061" s="39">
        <f>0</f>
        <v>0</v>
      </c>
      <c r="M1061" s="39">
        <f>0</f>
        <v>0</v>
      </c>
      <c r="N1061" s="1">
        <f>Tabla8[[#This Row],[TRIMESTRE  I]]+Tabla8[[#This Row],[TRIMESTRE II]]+Tabla8[[#This Row],[TRIMESTRE III]]+Tabla8[[#This Row],[TRIMESTRE IV]]</f>
        <v>573</v>
      </c>
      <c r="O1061" s="39" t="s">
        <v>6</v>
      </c>
      <c r="P1061" s="79">
        <v>45324</v>
      </c>
      <c r="Q1061" s="59" t="s">
        <v>625</v>
      </c>
    </row>
    <row r="1062" spans="2:17" ht="22.5" x14ac:dyDescent="0.2">
      <c r="B1062" s="34">
        <v>1300000</v>
      </c>
      <c r="C1062" s="97" t="s">
        <v>622</v>
      </c>
      <c r="D1062" s="36">
        <v>530</v>
      </c>
      <c r="E1062" s="42" t="str">
        <f>IF(D1062&lt;=0,"",VLOOKUP(D1062,[9]FF!A:D,2,0))</f>
        <v>PARTICIPACIONES Ramo 28</v>
      </c>
      <c r="F1062" s="37" t="s">
        <v>623</v>
      </c>
      <c r="G1062" s="37" t="s">
        <v>461</v>
      </c>
      <c r="H1062" s="38">
        <v>246001</v>
      </c>
      <c r="I1062" s="41" t="str">
        <f>IF(H1062&lt;=0,"",VLOOKUP(H1062,[9]COG!A:H,2,0))</f>
        <v>Material eléctrico</v>
      </c>
      <c r="J1062" s="39">
        <f>2329+1531</f>
        <v>3860</v>
      </c>
      <c r="K1062" s="39">
        <f>4198+3584+3967</f>
        <v>11749</v>
      </c>
      <c r="L1062" s="39">
        <f>3090+2029+2398</f>
        <v>7517</v>
      </c>
      <c r="M1062" s="39">
        <f>784+784+787</f>
        <v>2355</v>
      </c>
      <c r="N1062" s="1">
        <f>Tabla8[[#This Row],[TRIMESTRE  I]]+Tabla8[[#This Row],[TRIMESTRE II]]+Tabla8[[#This Row],[TRIMESTRE III]]+Tabla8[[#This Row],[TRIMESTRE IV]]</f>
        <v>25481</v>
      </c>
      <c r="O1062" s="39" t="s">
        <v>6</v>
      </c>
      <c r="P1062" s="79">
        <v>45324</v>
      </c>
      <c r="Q1062" s="59" t="s">
        <v>625</v>
      </c>
    </row>
    <row r="1063" spans="2:17" ht="22.5" x14ac:dyDescent="0.2">
      <c r="B1063" s="34">
        <v>1300000</v>
      </c>
      <c r="C1063" s="97" t="s">
        <v>622</v>
      </c>
      <c r="D1063" s="36">
        <v>530</v>
      </c>
      <c r="E1063" s="42" t="str">
        <f>IF(D1063&lt;=0,"",VLOOKUP(D1063,[9]FF!A:D,2,0))</f>
        <v>PARTICIPACIONES Ramo 28</v>
      </c>
      <c r="F1063" s="37" t="s">
        <v>623</v>
      </c>
      <c r="G1063" s="37" t="s">
        <v>461</v>
      </c>
      <c r="H1063" s="38">
        <v>249002</v>
      </c>
      <c r="I1063" s="41" t="str">
        <f>IF(H1063&lt;=0,"",VLOOKUP(H1063,[9]COG!A:H,2,0))</f>
        <v>Otros materiales de construcción y reparación</v>
      </c>
      <c r="J1063" s="39">
        <v>982</v>
      </c>
      <c r="K1063" s="39">
        <v>0</v>
      </c>
      <c r="L1063" s="39">
        <v>0</v>
      </c>
      <c r="M1063" s="39">
        <v>0</v>
      </c>
      <c r="N1063" s="1">
        <f>Tabla8[[#This Row],[TRIMESTRE  I]]+Tabla8[[#This Row],[TRIMESTRE II]]+Tabla8[[#This Row],[TRIMESTRE III]]+Tabla8[[#This Row],[TRIMESTRE IV]]</f>
        <v>982</v>
      </c>
      <c r="O1063" s="39" t="s">
        <v>6</v>
      </c>
      <c r="P1063" s="79">
        <v>45324</v>
      </c>
      <c r="Q1063" s="59" t="s">
        <v>625</v>
      </c>
    </row>
    <row r="1064" spans="2:17" ht="22.5" x14ac:dyDescent="0.2">
      <c r="B1064" s="34">
        <v>1300000</v>
      </c>
      <c r="C1064" s="97" t="s">
        <v>622</v>
      </c>
      <c r="D1064" s="36">
        <v>530</v>
      </c>
      <c r="E1064" s="42" t="str">
        <f>IF(D1064&lt;=0,"",VLOOKUP(D1064,[9]FF!A:D,2,0))</f>
        <v>PARTICIPACIONES Ramo 28</v>
      </c>
      <c r="F1064" s="37" t="s">
        <v>623</v>
      </c>
      <c r="G1064" s="37" t="s">
        <v>461</v>
      </c>
      <c r="H1064" s="38">
        <v>253001</v>
      </c>
      <c r="I1064" s="41" t="str">
        <f>IF(H1064&lt;=0,"",VLOOKUP(H1064,[9]COG!A:H,2,0))</f>
        <v>Material y productos químicos, farmacéuticos</v>
      </c>
      <c r="J1064" s="39">
        <f>0+146+146</f>
        <v>292</v>
      </c>
      <c r="K1064" s="39">
        <f>238+146+331</f>
        <v>715</v>
      </c>
      <c r="L1064" s="39">
        <f>238+238+331</f>
        <v>807</v>
      </c>
      <c r="M1064" s="39">
        <v>622</v>
      </c>
      <c r="N1064" s="1">
        <f>Tabla8[[#This Row],[TRIMESTRE  I]]+Tabla8[[#This Row],[TRIMESTRE II]]+Tabla8[[#This Row],[TRIMESTRE III]]+Tabla8[[#This Row],[TRIMESTRE IV]]</f>
        <v>2436</v>
      </c>
      <c r="O1064" s="39" t="s">
        <v>6</v>
      </c>
      <c r="P1064" s="79">
        <v>45324</v>
      </c>
      <c r="Q1064" s="59" t="s">
        <v>625</v>
      </c>
    </row>
    <row r="1065" spans="2:17" ht="22.5" x14ac:dyDescent="0.2">
      <c r="B1065" s="34">
        <v>1300000</v>
      </c>
      <c r="C1065" s="97" t="s">
        <v>622</v>
      </c>
      <c r="D1065" s="36">
        <v>530</v>
      </c>
      <c r="E1065" s="42" t="str">
        <f>IF(D1065&lt;=0,"",VLOOKUP(D1065,[9]FF!A:D,2,0))</f>
        <v>PARTICIPACIONES Ramo 28</v>
      </c>
      <c r="F1065" s="37" t="s">
        <v>623</v>
      </c>
      <c r="G1065" s="37" t="s">
        <v>461</v>
      </c>
      <c r="H1065" s="38">
        <v>261001</v>
      </c>
      <c r="I1065" s="41" t="str">
        <f>IF(H1065&lt;=0,"",VLOOKUP(H1065,[9]COG!A:H,2,0))</f>
        <v>Combustibles</v>
      </c>
      <c r="J1065" s="39">
        <v>326136</v>
      </c>
      <c r="K1065" s="39">
        <v>326136</v>
      </c>
      <c r="L1065" s="39">
        <v>326136</v>
      </c>
      <c r="M1065" s="39">
        <v>326142</v>
      </c>
      <c r="N1065" s="1">
        <f>Tabla8[[#This Row],[TRIMESTRE  I]]+Tabla8[[#This Row],[TRIMESTRE II]]+Tabla8[[#This Row],[TRIMESTRE III]]+Tabla8[[#This Row],[TRIMESTRE IV]]</f>
        <v>1304550</v>
      </c>
      <c r="O1065" s="39" t="s">
        <v>5</v>
      </c>
      <c r="P1065" s="79">
        <v>45293</v>
      </c>
      <c r="Q1065" s="59" t="s">
        <v>486</v>
      </c>
    </row>
    <row r="1066" spans="2:17" ht="22.5" x14ac:dyDescent="0.2">
      <c r="B1066" s="34">
        <v>1300000</v>
      </c>
      <c r="C1066" s="97" t="s">
        <v>622</v>
      </c>
      <c r="D1066" s="36">
        <v>530</v>
      </c>
      <c r="E1066" s="42" t="str">
        <f>IF(D1066&lt;=0,"",VLOOKUP(D1066,[9]FF!A:D,2,0))</f>
        <v>PARTICIPACIONES Ramo 28</v>
      </c>
      <c r="F1066" s="37" t="s">
        <v>623</v>
      </c>
      <c r="G1066" s="37" t="s">
        <v>461</v>
      </c>
      <c r="H1066" s="38">
        <v>261002</v>
      </c>
      <c r="I1066" s="41" t="str">
        <f>IF(H1066&lt;=0,"",VLOOKUP(H1066,[9]COG!A:H,2,0))</f>
        <v>Lubricantes y aditivos</v>
      </c>
      <c r="J1066" s="39">
        <f>1444+850</f>
        <v>2294</v>
      </c>
      <c r="K1066" s="39">
        <f>3946+4173+4173</f>
        <v>12292</v>
      </c>
      <c r="L1066" s="39">
        <f>1444+1644+1671</f>
        <v>4759</v>
      </c>
      <c r="M1066" s="39">
        <f>360+360+456</f>
        <v>1176</v>
      </c>
      <c r="N1066" s="1">
        <f>Tabla8[[#This Row],[TRIMESTRE  I]]+Tabla8[[#This Row],[TRIMESTRE II]]+Tabla8[[#This Row],[TRIMESTRE III]]+Tabla8[[#This Row],[TRIMESTRE IV]]</f>
        <v>20521</v>
      </c>
      <c r="O1066" s="39" t="s">
        <v>6</v>
      </c>
      <c r="P1066" s="79">
        <v>45324</v>
      </c>
      <c r="Q1066" s="59" t="s">
        <v>625</v>
      </c>
    </row>
    <row r="1067" spans="2:17" ht="22.5" x14ac:dyDescent="0.2">
      <c r="B1067" s="34">
        <v>1300000</v>
      </c>
      <c r="C1067" s="97" t="s">
        <v>622</v>
      </c>
      <c r="D1067" s="36">
        <v>530</v>
      </c>
      <c r="E1067" s="42" t="str">
        <f>IF(D1067&lt;=0,"",VLOOKUP(D1067,[9]FF!A:D,2,0))</f>
        <v>PARTICIPACIONES Ramo 28</v>
      </c>
      <c r="F1067" s="37" t="s">
        <v>623</v>
      </c>
      <c r="G1067" s="37" t="s">
        <v>461</v>
      </c>
      <c r="H1067" s="38">
        <v>271001</v>
      </c>
      <c r="I1067" s="41" t="str">
        <f>IF(H1067&lt;=0,"",VLOOKUP(H1067,[9]COG!A:H,2,0))</f>
        <v>Ropa, vestuario y equipo</v>
      </c>
      <c r="J1067" s="39">
        <f>4363+6872</f>
        <v>11235</v>
      </c>
      <c r="K1067" s="39">
        <f>22393+5250+6256</f>
        <v>33899</v>
      </c>
      <c r="L1067" s="39">
        <f>7372+11735</f>
        <v>19107</v>
      </c>
      <c r="M1067" s="39">
        <f>12353+7494+8494</f>
        <v>28341</v>
      </c>
      <c r="N1067" s="1">
        <f>Tabla8[[#This Row],[TRIMESTRE  I]]+Tabla8[[#This Row],[TRIMESTRE II]]+Tabla8[[#This Row],[TRIMESTRE III]]+Tabla8[[#This Row],[TRIMESTRE IV]]</f>
        <v>92582</v>
      </c>
      <c r="O1067" s="39" t="s">
        <v>6</v>
      </c>
      <c r="P1067" s="79">
        <v>45324</v>
      </c>
      <c r="Q1067" s="59" t="s">
        <v>625</v>
      </c>
    </row>
    <row r="1068" spans="2:17" ht="27" x14ac:dyDescent="0.2">
      <c r="B1068" s="34">
        <v>1300000</v>
      </c>
      <c r="C1068" s="97" t="s">
        <v>622</v>
      </c>
      <c r="D1068" s="36">
        <v>530</v>
      </c>
      <c r="E1068" s="42" t="str">
        <f>IF(D1068&lt;=0,"",VLOOKUP(D1068,[9]FF!A:D,2,0))</f>
        <v>PARTICIPACIONES Ramo 28</v>
      </c>
      <c r="F1068" s="37" t="s">
        <v>623</v>
      </c>
      <c r="G1068" s="37" t="s">
        <v>461</v>
      </c>
      <c r="H1068" s="38">
        <v>292001</v>
      </c>
      <c r="I1068" s="41" t="str">
        <f>IF(H1068&lt;=0,"",VLOOKUP(H1068,[9]COG!A:H,2,0))</f>
        <v>Refacciones y accesorios menores de edificios (candados, cerraduras, chapas, llaves)</v>
      </c>
      <c r="J1068" s="39">
        <f>0+626+0</f>
        <v>626</v>
      </c>
      <c r="K1068" s="39">
        <f>562+562+562</f>
        <v>1686</v>
      </c>
      <c r="L1068" s="39">
        <f>562+65+65</f>
        <v>692</v>
      </c>
      <c r="M1068" s="39">
        <f>65+65+70</f>
        <v>200</v>
      </c>
      <c r="N1068" s="1">
        <f>Tabla8[[#This Row],[TRIMESTRE  I]]+Tabla8[[#This Row],[TRIMESTRE II]]+Tabla8[[#This Row],[TRIMESTRE III]]+Tabla8[[#This Row],[TRIMESTRE IV]]</f>
        <v>3204</v>
      </c>
      <c r="O1068" s="39" t="s">
        <v>6</v>
      </c>
      <c r="P1068" s="79">
        <v>45324</v>
      </c>
      <c r="Q1068" s="59" t="s">
        <v>625</v>
      </c>
    </row>
    <row r="1069" spans="2:17" ht="27" x14ac:dyDescent="0.2">
      <c r="B1069" s="34">
        <v>1300000</v>
      </c>
      <c r="C1069" s="97" t="s">
        <v>622</v>
      </c>
      <c r="D1069" s="36">
        <v>530</v>
      </c>
      <c r="E1069" s="42" t="str">
        <f>IF(D1069&lt;=0,"",VLOOKUP(D1069,[9]FF!A:D,2,0))</f>
        <v>PARTICIPACIONES Ramo 28</v>
      </c>
      <c r="F1069" s="37" t="s">
        <v>623</v>
      </c>
      <c r="G1069" s="37" t="s">
        <v>461</v>
      </c>
      <c r="H1069" s="38">
        <v>293001</v>
      </c>
      <c r="I1069" s="41" t="str">
        <f>IF(H1069&lt;=0,"",VLOOKUP(H1069,[9]COG!A:H,2,0))</f>
        <v>Refacciones y accesorios menores de mobiliario y equipo de administración, educacional y recreativo</v>
      </c>
      <c r="J1069" s="39">
        <f>1160+3042</f>
        <v>4202</v>
      </c>
      <c r="K1069" s="39">
        <f>1679+2699+1679</f>
        <v>6057</v>
      </c>
      <c r="L1069" s="39">
        <f>1679+2010+225</f>
        <v>3914</v>
      </c>
      <c r="M1069" s="39">
        <f>225+225+225</f>
        <v>675</v>
      </c>
      <c r="N1069" s="1">
        <f>Tabla8[[#This Row],[TRIMESTRE  I]]+Tabla8[[#This Row],[TRIMESTRE II]]+Tabla8[[#This Row],[TRIMESTRE III]]+Tabla8[[#This Row],[TRIMESTRE IV]]</f>
        <v>14848</v>
      </c>
      <c r="O1069" s="39" t="s">
        <v>6</v>
      </c>
      <c r="P1069" s="79">
        <v>45324</v>
      </c>
      <c r="Q1069" s="59" t="s">
        <v>625</v>
      </c>
    </row>
    <row r="1070" spans="2:17" ht="22.5" x14ac:dyDescent="0.2">
      <c r="B1070" s="34">
        <v>1300000</v>
      </c>
      <c r="C1070" s="97" t="s">
        <v>622</v>
      </c>
      <c r="D1070" s="36">
        <v>530</v>
      </c>
      <c r="E1070" s="42" t="str">
        <f>IF(D1070&lt;=0,"",VLOOKUP(D1070,[9]FF!A:D,2,0))</f>
        <v>PARTICIPACIONES Ramo 28</v>
      </c>
      <c r="F1070" s="37" t="s">
        <v>623</v>
      </c>
      <c r="G1070" s="37" t="s">
        <v>461</v>
      </c>
      <c r="H1070" s="38">
        <v>294001</v>
      </c>
      <c r="I1070" s="41" t="str">
        <f>IF(H1070&lt;=0,"",VLOOKUP(H1070,[9]COG!A:H,2,0))</f>
        <v>Dispositivos Internos y Externos de Equipo de Computo</v>
      </c>
      <c r="J1070" s="39">
        <f>0+1013+1617</f>
        <v>2630</v>
      </c>
      <c r="K1070" s="39">
        <f>1617+1617+1617</f>
        <v>4851</v>
      </c>
      <c r="L1070" s="39">
        <f>1617+163+163</f>
        <v>1943</v>
      </c>
      <c r="M1070" s="39">
        <f>163+163+163</f>
        <v>489</v>
      </c>
      <c r="N1070" s="1">
        <f>Tabla8[[#This Row],[TRIMESTRE  I]]+Tabla8[[#This Row],[TRIMESTRE II]]+Tabla8[[#This Row],[TRIMESTRE III]]+Tabla8[[#This Row],[TRIMESTRE IV]]</f>
        <v>9913</v>
      </c>
      <c r="O1070" s="39" t="s">
        <v>6</v>
      </c>
      <c r="P1070" s="79">
        <v>45324</v>
      </c>
      <c r="Q1070" s="59" t="s">
        <v>625</v>
      </c>
    </row>
    <row r="1071" spans="2:17" ht="22.5" x14ac:dyDescent="0.2">
      <c r="B1071" s="34">
        <v>1300000</v>
      </c>
      <c r="C1071" s="97" t="s">
        <v>622</v>
      </c>
      <c r="D1071" s="36">
        <v>530</v>
      </c>
      <c r="E1071" s="42" t="str">
        <f>IF(D1071&lt;=0,"",VLOOKUP(D1071,[9]FF!A:D,2,0))</f>
        <v>PARTICIPACIONES Ramo 28</v>
      </c>
      <c r="F1071" s="37" t="s">
        <v>623</v>
      </c>
      <c r="G1071" s="37" t="s">
        <v>461</v>
      </c>
      <c r="H1071" s="38">
        <v>294002</v>
      </c>
      <c r="I1071" s="41" t="str">
        <f>IF(H1071&lt;=0,"",VLOOKUP(H1071,[9]COG!A:H,2,0))</f>
        <v>Refacciones y Accesorios Menores de Equipo de Computo</v>
      </c>
      <c r="J1071" s="39">
        <f>0+178+1631</f>
        <v>1809</v>
      </c>
      <c r="K1071" s="39">
        <f>1631*3</f>
        <v>4893</v>
      </c>
      <c r="L1071" s="39">
        <f>1631+178+178</f>
        <v>1987</v>
      </c>
      <c r="M1071" s="39">
        <f>178*3</f>
        <v>534</v>
      </c>
      <c r="N1071" s="1">
        <f>Tabla8[[#This Row],[TRIMESTRE  I]]+Tabla8[[#This Row],[TRIMESTRE II]]+Tabla8[[#This Row],[TRIMESTRE III]]+Tabla8[[#This Row],[TRIMESTRE IV]]</f>
        <v>9223</v>
      </c>
      <c r="O1071" s="39" t="s">
        <v>6</v>
      </c>
      <c r="P1071" s="79">
        <v>45324</v>
      </c>
      <c r="Q1071" s="59" t="s">
        <v>625</v>
      </c>
    </row>
    <row r="1072" spans="2:17" ht="22.5" x14ac:dyDescent="0.2">
      <c r="B1072" s="34">
        <v>1300000</v>
      </c>
      <c r="C1072" s="97" t="s">
        <v>622</v>
      </c>
      <c r="D1072" s="36">
        <v>530</v>
      </c>
      <c r="E1072" s="42" t="str">
        <f>IF(D1072&lt;=0,"",VLOOKUP(D1072,[9]FF!A:D,2,0))</f>
        <v>PARTICIPACIONES Ramo 28</v>
      </c>
      <c r="F1072" s="37" t="s">
        <v>623</v>
      </c>
      <c r="G1072" s="37" t="s">
        <v>461</v>
      </c>
      <c r="H1072" s="38">
        <v>296001</v>
      </c>
      <c r="I1072" s="41" t="str">
        <f>IF(H1072&lt;=0,"",VLOOKUP(H1072,[9]COG!A:H,2,0))</f>
        <v>Herramientas, refacciones y accesorios</v>
      </c>
      <c r="J1072" s="39">
        <f>2593+8722+6057</f>
        <v>17372</v>
      </c>
      <c r="K1072" s="39">
        <f>15718+14546+13921</f>
        <v>44185</v>
      </c>
      <c r="L1072" s="39">
        <f>4931+7700+6458</f>
        <v>19089</v>
      </c>
      <c r="M1072" s="39">
        <f>3764+4487+1874</f>
        <v>10125</v>
      </c>
      <c r="N1072" s="1">
        <f>Tabla8[[#This Row],[TRIMESTRE  I]]+Tabla8[[#This Row],[TRIMESTRE II]]+Tabla8[[#This Row],[TRIMESTRE III]]+Tabla8[[#This Row],[TRIMESTRE IV]]</f>
        <v>90771</v>
      </c>
      <c r="O1072" s="39" t="s">
        <v>6</v>
      </c>
      <c r="P1072" s="79">
        <v>45324</v>
      </c>
      <c r="Q1072" s="59" t="s">
        <v>625</v>
      </c>
    </row>
    <row r="1073" spans="2:17" ht="22.5" x14ac:dyDescent="0.2">
      <c r="B1073" s="34">
        <v>1300000</v>
      </c>
      <c r="C1073" s="97" t="s">
        <v>622</v>
      </c>
      <c r="D1073" s="36">
        <v>530</v>
      </c>
      <c r="E1073" s="42" t="str">
        <f>IF(D1073&lt;=0,"",VLOOKUP(D1073,[9]FF!A:D,2,0))</f>
        <v>PARTICIPACIONES Ramo 28</v>
      </c>
      <c r="F1073" s="37" t="s">
        <v>623</v>
      </c>
      <c r="G1073" s="37" t="s">
        <v>461</v>
      </c>
      <c r="H1073" s="38">
        <v>299001</v>
      </c>
      <c r="I1073" s="41" t="str">
        <f>IF(H1073&lt;=0,"",VLOOKUP(H1073,[9]COG!A:H,2,0))</f>
        <v>Refacciones y accesorios menores otros bienes muebles</v>
      </c>
      <c r="J1073" s="39">
        <f>0+937+0</f>
        <v>937</v>
      </c>
      <c r="K1073" s="39">
        <f>0</f>
        <v>0</v>
      </c>
      <c r="L1073" s="39">
        <f>0</f>
        <v>0</v>
      </c>
      <c r="M1073" s="39">
        <f>0</f>
        <v>0</v>
      </c>
      <c r="N1073" s="1">
        <f>Tabla8[[#This Row],[TRIMESTRE  I]]+Tabla8[[#This Row],[TRIMESTRE II]]+Tabla8[[#This Row],[TRIMESTRE III]]+Tabla8[[#This Row],[TRIMESTRE IV]]</f>
        <v>937</v>
      </c>
      <c r="O1073" s="39" t="s">
        <v>6</v>
      </c>
      <c r="P1073" s="79">
        <v>45324</v>
      </c>
      <c r="Q1073" s="59" t="s">
        <v>625</v>
      </c>
    </row>
    <row r="1074" spans="2:17" ht="22.5" x14ac:dyDescent="0.2">
      <c r="B1074" s="34">
        <v>1300000</v>
      </c>
      <c r="C1074" s="97" t="s">
        <v>622</v>
      </c>
      <c r="D1074" s="36">
        <v>530</v>
      </c>
      <c r="E1074" s="42" t="str">
        <f>IF(D1074&lt;=0,"",VLOOKUP(D1074,[9]FF!A:D,2,0))</f>
        <v>PARTICIPACIONES Ramo 28</v>
      </c>
      <c r="F1074" s="37" t="s">
        <v>623</v>
      </c>
      <c r="G1074" s="37" t="s">
        <v>458</v>
      </c>
      <c r="H1074" s="38">
        <v>311001</v>
      </c>
      <c r="I1074" s="41" t="str">
        <f>IF(H1074&lt;=0,"",VLOOKUP(H1074,[9]COG!A:H,2,0))</f>
        <v>Servicio de energía eléctrica</v>
      </c>
      <c r="J1074" s="39">
        <f>64938+64268+62242</f>
        <v>191448</v>
      </c>
      <c r="K1074" s="39">
        <f>63242+63242+64242</f>
        <v>190726</v>
      </c>
      <c r="L1074" s="39">
        <f>64242+62742+64242</f>
        <v>191226</v>
      </c>
      <c r="M1074" s="39">
        <f>64242+62742+63722</f>
        <v>190706</v>
      </c>
      <c r="N1074" s="1">
        <f>Tabla8[[#This Row],[TRIMESTRE  I]]+Tabla8[[#This Row],[TRIMESTRE II]]+Tabla8[[#This Row],[TRIMESTRE III]]+Tabla8[[#This Row],[TRIMESTRE IV]]</f>
        <v>764106</v>
      </c>
      <c r="O1074" s="39"/>
      <c r="P1074" s="39"/>
      <c r="Q1074" s="59"/>
    </row>
    <row r="1075" spans="2:17" ht="22.5" x14ac:dyDescent="0.2">
      <c r="B1075" s="34">
        <v>1300000</v>
      </c>
      <c r="C1075" s="97" t="s">
        <v>622</v>
      </c>
      <c r="D1075" s="36">
        <v>530</v>
      </c>
      <c r="E1075" s="42" t="str">
        <f>IF(D1075&lt;=0,"",VLOOKUP(D1075,[9]FF!A:D,2,0))</f>
        <v>PARTICIPACIONES Ramo 28</v>
      </c>
      <c r="F1075" s="37" t="s">
        <v>623</v>
      </c>
      <c r="G1075" s="37" t="s">
        <v>458</v>
      </c>
      <c r="H1075" s="38">
        <v>313001</v>
      </c>
      <c r="I1075" s="41" t="str">
        <f>IF(H1075&lt;=0,"",VLOOKUP(H1075,[9]COG!A:H,2,0))</f>
        <v>Servicio de agua potable</v>
      </c>
      <c r="J1075" s="39">
        <f>4260+4646+4453</f>
        <v>13359</v>
      </c>
      <c r="K1075" s="39">
        <f>4260+5260+4260</f>
        <v>13780</v>
      </c>
      <c r="L1075" s="39">
        <f>6260+4260+4260</f>
        <v>14780</v>
      </c>
      <c r="M1075" s="39">
        <f>5260+4260+4260</f>
        <v>13780</v>
      </c>
      <c r="N1075" s="1">
        <f>Tabla8[[#This Row],[TRIMESTRE  I]]+Tabla8[[#This Row],[TRIMESTRE II]]+Tabla8[[#This Row],[TRIMESTRE III]]+Tabla8[[#This Row],[TRIMESTRE IV]]</f>
        <v>55699</v>
      </c>
      <c r="O1075" s="39"/>
      <c r="P1075" s="39"/>
      <c r="Q1075" s="59"/>
    </row>
    <row r="1076" spans="2:17" ht="22.5" x14ac:dyDescent="0.2">
      <c r="B1076" s="34">
        <v>1300000</v>
      </c>
      <c r="C1076" s="97" t="s">
        <v>622</v>
      </c>
      <c r="D1076" s="36">
        <v>530</v>
      </c>
      <c r="E1076" s="42" t="str">
        <f>IF(D1076&lt;=0,"",VLOOKUP(D1076,[9]FF!A:D,2,0))</f>
        <v>PARTICIPACIONES Ramo 28</v>
      </c>
      <c r="F1076" s="37" t="s">
        <v>623</v>
      </c>
      <c r="G1076" s="37" t="s">
        <v>458</v>
      </c>
      <c r="H1076" s="38">
        <v>314001</v>
      </c>
      <c r="I1076" s="41" t="str">
        <f>IF(H1076&lt;=0,"",VLOOKUP(H1076,[9]COG!A:H,2,0))</f>
        <v>Servicio telefónico</v>
      </c>
      <c r="J1076" s="39">
        <f>32761+32808+32305</f>
        <v>97874</v>
      </c>
      <c r="K1076" s="39">
        <f>27194+26415+26544</f>
        <v>80153</v>
      </c>
      <c r="L1076" s="39">
        <f>26544+26544+26869</f>
        <v>79957</v>
      </c>
      <c r="M1076" s="39">
        <f>26869+26609+26618</f>
        <v>80096</v>
      </c>
      <c r="N1076" s="1">
        <f>Tabla8[[#This Row],[TRIMESTRE  I]]+Tabla8[[#This Row],[TRIMESTRE II]]+Tabla8[[#This Row],[TRIMESTRE III]]+Tabla8[[#This Row],[TRIMESTRE IV]]</f>
        <v>338080</v>
      </c>
      <c r="O1076" s="39"/>
      <c r="P1076" s="39"/>
      <c r="Q1076" s="59"/>
    </row>
    <row r="1077" spans="2:17" ht="22.5" x14ac:dyDescent="0.2">
      <c r="B1077" s="34">
        <v>1300000</v>
      </c>
      <c r="C1077" s="97" t="s">
        <v>622</v>
      </c>
      <c r="D1077" s="36">
        <v>530</v>
      </c>
      <c r="E1077" s="42" t="str">
        <f>IF(D1077&lt;=0,"",VLOOKUP(D1077,[9]FF!A:D,2,0))</f>
        <v>PARTICIPACIONES Ramo 28</v>
      </c>
      <c r="F1077" s="37" t="s">
        <v>623</v>
      </c>
      <c r="G1077" s="37" t="s">
        <v>458</v>
      </c>
      <c r="H1077" s="38">
        <v>317001</v>
      </c>
      <c r="I1077" s="41" t="str">
        <f>IF(H1077&lt;=0,"",VLOOKUP(H1077,[9]COG!A:H,2,0))</f>
        <v>Servicios de acceso de Internet, redes y procesamiento de información</v>
      </c>
      <c r="J1077" s="39">
        <f>10632+10632+10635</f>
        <v>31899</v>
      </c>
      <c r="K1077" s="39">
        <f>10633*3</f>
        <v>31899</v>
      </c>
      <c r="L1077" s="39">
        <f>10633*3</f>
        <v>31899</v>
      </c>
      <c r="M1077" s="39">
        <f>10633*3</f>
        <v>31899</v>
      </c>
      <c r="N1077" s="1">
        <f>Tabla8[[#This Row],[TRIMESTRE  I]]+Tabla8[[#This Row],[TRIMESTRE II]]+Tabla8[[#This Row],[TRIMESTRE III]]+Tabla8[[#This Row],[TRIMESTRE IV]]</f>
        <v>127596</v>
      </c>
      <c r="O1077" s="39"/>
      <c r="P1077" s="39"/>
      <c r="Q1077" s="59"/>
    </row>
    <row r="1078" spans="2:17" ht="22.5" x14ac:dyDescent="0.2">
      <c r="B1078" s="34">
        <v>1300000</v>
      </c>
      <c r="C1078" s="97" t="s">
        <v>622</v>
      </c>
      <c r="D1078" s="36">
        <v>530</v>
      </c>
      <c r="E1078" s="42" t="str">
        <f>IF(D1078&lt;=0,"",VLOOKUP(D1078,[9]FF!A:D,2,0))</f>
        <v>PARTICIPACIONES Ramo 28</v>
      </c>
      <c r="F1078" s="37" t="s">
        <v>623</v>
      </c>
      <c r="G1078" s="37" t="s">
        <v>458</v>
      </c>
      <c r="H1078" s="38">
        <v>318001</v>
      </c>
      <c r="I1078" s="41" t="str">
        <f>IF(H1078&lt;=0,"",VLOOKUP(H1078,[9]COG!A:H,2,0))</f>
        <v>Servicio postal y telegráfico</v>
      </c>
      <c r="J1078" s="39">
        <f>6292+7682+6035</f>
        <v>20009</v>
      </c>
      <c r="K1078" s="39">
        <f>5525+4447+5844</f>
        <v>15816</v>
      </c>
      <c r="L1078" s="39">
        <f>4119+5803+3554</f>
        <v>13476</v>
      </c>
      <c r="M1078" s="39">
        <f>1688+3359+1863+2314</f>
        <v>9224</v>
      </c>
      <c r="N1078" s="1">
        <f>Tabla8[[#This Row],[TRIMESTRE  I]]+Tabla8[[#This Row],[TRIMESTRE II]]+Tabla8[[#This Row],[TRIMESTRE III]]+Tabla8[[#This Row],[TRIMESTRE IV]]</f>
        <v>58525</v>
      </c>
      <c r="O1078" s="39" t="s">
        <v>6</v>
      </c>
      <c r="P1078" s="79">
        <v>45324</v>
      </c>
      <c r="Q1078" s="59" t="s">
        <v>625</v>
      </c>
    </row>
    <row r="1079" spans="2:17" ht="22.5" x14ac:dyDescent="0.2">
      <c r="B1079" s="34">
        <v>1300000</v>
      </c>
      <c r="C1079" s="97" t="s">
        <v>622</v>
      </c>
      <c r="D1079" s="36">
        <v>530</v>
      </c>
      <c r="E1079" s="42" t="str">
        <f>IF(D1079&lt;=0,"",VLOOKUP(D1079,[9]FF!A:D,2,0))</f>
        <v>PARTICIPACIONES Ramo 28</v>
      </c>
      <c r="F1079" s="37" t="s">
        <v>623</v>
      </c>
      <c r="G1079" s="37" t="s">
        <v>458</v>
      </c>
      <c r="H1079" s="38">
        <v>323002</v>
      </c>
      <c r="I1079" s="41" t="str">
        <f>IF(H1079&lt;=0,"",VLOOKUP(H1079,[9]COG!A:H,2,0))</f>
        <v>Arrendamiento de maquinaria y equipo de Administración</v>
      </c>
      <c r="J1079" s="39">
        <f>2720+13220+11820</f>
        <v>27760</v>
      </c>
      <c r="K1079" s="39">
        <f>2720*3</f>
        <v>8160</v>
      </c>
      <c r="L1079" s="39">
        <f>2720*3</f>
        <v>8160</v>
      </c>
      <c r="M1079" s="39">
        <f>2720*3</f>
        <v>8160</v>
      </c>
      <c r="N1079" s="1">
        <f>Tabla8[[#This Row],[TRIMESTRE  I]]+Tabla8[[#This Row],[TRIMESTRE II]]+Tabla8[[#This Row],[TRIMESTRE III]]+Tabla8[[#This Row],[TRIMESTRE IV]]</f>
        <v>52240</v>
      </c>
      <c r="O1079" s="39" t="s">
        <v>626</v>
      </c>
      <c r="P1079" s="79">
        <v>45293</v>
      </c>
      <c r="Q1079" s="59" t="s">
        <v>486</v>
      </c>
    </row>
    <row r="1080" spans="2:17" ht="22.5" x14ac:dyDescent="0.2">
      <c r="B1080" s="34">
        <v>1300000</v>
      </c>
      <c r="C1080" s="97" t="s">
        <v>622</v>
      </c>
      <c r="D1080" s="36">
        <v>530</v>
      </c>
      <c r="E1080" s="42" t="str">
        <f>IF(D1080&lt;=0,"",VLOOKUP(D1080,[9]FF!A:D,2,0))</f>
        <v>PARTICIPACIONES Ramo 28</v>
      </c>
      <c r="F1080" s="37" t="s">
        <v>623</v>
      </c>
      <c r="G1080" s="37" t="s">
        <v>458</v>
      </c>
      <c r="H1080" s="38">
        <v>325001</v>
      </c>
      <c r="I1080" s="41" t="str">
        <f>IF(H1080&lt;=0,"",VLOOKUP(H1080,[9]COG!A:H,2,0))</f>
        <v>Arrendamiento de equipo de transporte</v>
      </c>
      <c r="J1080" s="39">
        <f>0+15000+10000</f>
        <v>25000</v>
      </c>
      <c r="K1080" s="39">
        <f>10000+5000+5000</f>
        <v>20000</v>
      </c>
      <c r="L1080" s="39">
        <f>5000+5000+6092</f>
        <v>16092</v>
      </c>
      <c r="M1080" s="39">
        <f>8000+5000+0</f>
        <v>13000</v>
      </c>
      <c r="N1080" s="1">
        <f>Tabla8[[#This Row],[TRIMESTRE  I]]+Tabla8[[#This Row],[TRIMESTRE II]]+Tabla8[[#This Row],[TRIMESTRE III]]+Tabla8[[#This Row],[TRIMESTRE IV]]</f>
        <v>74092</v>
      </c>
      <c r="O1080" s="39" t="s">
        <v>6</v>
      </c>
      <c r="P1080" s="79">
        <v>45324</v>
      </c>
      <c r="Q1080" s="83" t="s">
        <v>625</v>
      </c>
    </row>
    <row r="1081" spans="2:17" ht="22.5" x14ac:dyDescent="0.2">
      <c r="B1081" s="34">
        <v>1300000</v>
      </c>
      <c r="C1081" s="97" t="s">
        <v>622</v>
      </c>
      <c r="D1081" s="36">
        <v>530</v>
      </c>
      <c r="E1081" s="42" t="str">
        <f>IF(D1081&lt;=0,"",VLOOKUP(D1081,[9]FF!A:D,2,0))</f>
        <v>PARTICIPACIONES Ramo 28</v>
      </c>
      <c r="F1081" s="37" t="s">
        <v>623</v>
      </c>
      <c r="G1081" s="37" t="s">
        <v>458</v>
      </c>
      <c r="H1081" s="38">
        <v>331001</v>
      </c>
      <c r="I1081" s="41" t="str">
        <f>IF(H1081&lt;=0,"",VLOOKUP(H1081,[9]COG!A:H,2,0))</f>
        <v>Asesorías</v>
      </c>
      <c r="J1081" s="39">
        <v>87781</v>
      </c>
      <c r="K1081" s="39">
        <v>107414</v>
      </c>
      <c r="L1081" s="39">
        <f>49634+19633+25805</f>
        <v>95072</v>
      </c>
      <c r="M1081" s="39">
        <f>55805+25805+6171</f>
        <v>87781</v>
      </c>
      <c r="N1081" s="1">
        <f>Tabla8[[#This Row],[TRIMESTRE  I]]+Tabla8[[#This Row],[TRIMESTRE II]]+Tabla8[[#This Row],[TRIMESTRE III]]+Tabla8[[#This Row],[TRIMESTRE IV]]</f>
        <v>378048</v>
      </c>
      <c r="O1081" s="39" t="s">
        <v>627</v>
      </c>
      <c r="P1081" s="79">
        <v>45324</v>
      </c>
      <c r="Q1081" s="64" t="s">
        <v>625</v>
      </c>
    </row>
    <row r="1082" spans="2:17" ht="22.5" x14ac:dyDescent="0.2">
      <c r="B1082" s="34">
        <v>1300000</v>
      </c>
      <c r="C1082" s="97" t="s">
        <v>622</v>
      </c>
      <c r="D1082" s="36">
        <v>530</v>
      </c>
      <c r="E1082" s="42" t="str">
        <f>IF(D1082&lt;=0,"",VLOOKUP(D1082,[9]FF!A:D,2,0))</f>
        <v>PARTICIPACIONES Ramo 28</v>
      </c>
      <c r="F1082" s="37" t="s">
        <v>623</v>
      </c>
      <c r="G1082" s="37" t="s">
        <v>458</v>
      </c>
      <c r="H1082" s="38">
        <v>334001</v>
      </c>
      <c r="I1082" s="41" t="str">
        <f>IF(H1082&lt;=0,"",VLOOKUP(H1082,[9]COG!A:H,2,0))</f>
        <v>Cuotas e inscripciones</v>
      </c>
      <c r="J1082" s="39">
        <f>0+97203+4183</f>
        <v>101386</v>
      </c>
      <c r="K1082" s="39">
        <f>52386+47788+51557</f>
        <v>151731</v>
      </c>
      <c r="L1082" s="39">
        <f>0</f>
        <v>0</v>
      </c>
      <c r="M1082" s="39">
        <f>9965+0+0</f>
        <v>9965</v>
      </c>
      <c r="N1082" s="1">
        <f>Tabla8[[#This Row],[TRIMESTRE  I]]+Tabla8[[#This Row],[TRIMESTRE II]]+Tabla8[[#This Row],[TRIMESTRE III]]+Tabla8[[#This Row],[TRIMESTRE IV]]</f>
        <v>263082</v>
      </c>
      <c r="O1082" s="39" t="s">
        <v>6</v>
      </c>
      <c r="P1082" s="79">
        <v>45324</v>
      </c>
      <c r="Q1082" s="59" t="s">
        <v>625</v>
      </c>
    </row>
    <row r="1083" spans="2:17" ht="22.5" x14ac:dyDescent="0.2">
      <c r="B1083" s="34">
        <v>1300000</v>
      </c>
      <c r="C1083" s="97" t="s">
        <v>622</v>
      </c>
      <c r="D1083" s="36">
        <v>530</v>
      </c>
      <c r="E1083" s="42" t="str">
        <f>IF(D1083&lt;=0,"",VLOOKUP(D1083,[9]FF!A:D,2,0))</f>
        <v>PARTICIPACIONES Ramo 28</v>
      </c>
      <c r="F1083" s="37" t="s">
        <v>623</v>
      </c>
      <c r="G1083" s="37" t="s">
        <v>458</v>
      </c>
      <c r="H1083" s="38">
        <v>338001</v>
      </c>
      <c r="I1083" s="41" t="str">
        <f>IF(H1083&lt;=0,"",VLOOKUP(H1083,[9]COG!A:H,2,0))</f>
        <v>Servicio de seguridad privada</v>
      </c>
      <c r="J1083" s="39">
        <f>6470</f>
        <v>6470</v>
      </c>
      <c r="K1083" s="39">
        <v>0</v>
      </c>
      <c r="L1083" s="39">
        <v>0</v>
      </c>
      <c r="M1083" s="39">
        <v>0</v>
      </c>
      <c r="N1083" s="1">
        <f>Tabla8[[#This Row],[TRIMESTRE  I]]+Tabla8[[#This Row],[TRIMESTRE II]]+Tabla8[[#This Row],[TRIMESTRE III]]+Tabla8[[#This Row],[TRIMESTRE IV]]</f>
        <v>6470</v>
      </c>
      <c r="O1083" s="39" t="s">
        <v>5</v>
      </c>
      <c r="P1083" s="79">
        <v>45324</v>
      </c>
      <c r="Q1083" s="59" t="s">
        <v>486</v>
      </c>
    </row>
    <row r="1084" spans="2:17" ht="22.5" x14ac:dyDescent="0.2">
      <c r="B1084" s="34">
        <v>1300000</v>
      </c>
      <c r="C1084" s="97" t="s">
        <v>622</v>
      </c>
      <c r="D1084" s="36">
        <v>530</v>
      </c>
      <c r="E1084" s="42" t="str">
        <f>IF(D1084&lt;=0,"",VLOOKUP(D1084,[9]FF!A:D,2,0))</f>
        <v>PARTICIPACIONES Ramo 28</v>
      </c>
      <c r="F1084" s="37" t="s">
        <v>623</v>
      </c>
      <c r="G1084" s="37" t="s">
        <v>458</v>
      </c>
      <c r="H1084" s="38">
        <v>341001</v>
      </c>
      <c r="I1084" s="41" t="str">
        <f>IF(H1084&lt;=0,"",VLOOKUP(H1084,[9]COG!A:H,2,0))</f>
        <v>Comisiones, descuentos y otros servicios bancarios</v>
      </c>
      <c r="J1084" s="39">
        <f>0+650+850</f>
        <v>1500</v>
      </c>
      <c r="K1084" s="39">
        <f>850*3</f>
        <v>2550</v>
      </c>
      <c r="L1084" s="39">
        <f>850*3</f>
        <v>2550</v>
      </c>
      <c r="M1084" s="39">
        <f>850*3</f>
        <v>2550</v>
      </c>
      <c r="N1084" s="1">
        <f>Tabla8[[#This Row],[TRIMESTRE  I]]+Tabla8[[#This Row],[TRIMESTRE II]]+Tabla8[[#This Row],[TRIMESTRE III]]+Tabla8[[#This Row],[TRIMESTRE IV]]</f>
        <v>9150</v>
      </c>
      <c r="O1084" s="39"/>
      <c r="P1084" s="79"/>
      <c r="Q1084" s="59" t="s">
        <v>625</v>
      </c>
    </row>
    <row r="1085" spans="2:17" ht="22.5" x14ac:dyDescent="0.2">
      <c r="B1085" s="34">
        <v>1300000</v>
      </c>
      <c r="C1085" s="97" t="s">
        <v>622</v>
      </c>
      <c r="D1085" s="36">
        <v>530</v>
      </c>
      <c r="E1085" s="42" t="str">
        <f>IF(D1085&lt;=0,"",VLOOKUP(D1085,[9]FF!A:D,2,0))</f>
        <v>PARTICIPACIONES Ramo 28</v>
      </c>
      <c r="F1085" s="37" t="s">
        <v>623</v>
      </c>
      <c r="G1085" s="37" t="s">
        <v>458</v>
      </c>
      <c r="H1085" s="38">
        <v>345001</v>
      </c>
      <c r="I1085" s="41" t="str">
        <f>IF(H1085&lt;=0,"",VLOOKUP(H1085,[9]COG!A:H,2,0))</f>
        <v>Seguros</v>
      </c>
      <c r="J1085" s="39">
        <v>0</v>
      </c>
      <c r="K1085" s="39">
        <v>91143</v>
      </c>
      <c r="L1085" s="39">
        <v>0</v>
      </c>
      <c r="M1085" s="39">
        <v>0</v>
      </c>
      <c r="N1085" s="1">
        <f>Tabla8[[#This Row],[TRIMESTRE  I]]+Tabla8[[#This Row],[TRIMESTRE II]]+Tabla8[[#This Row],[TRIMESTRE III]]+Tabla8[[#This Row],[TRIMESTRE IV]]</f>
        <v>91143</v>
      </c>
      <c r="O1085" s="39" t="s">
        <v>6</v>
      </c>
      <c r="P1085" s="79"/>
      <c r="Q1085" s="59" t="s">
        <v>625</v>
      </c>
    </row>
    <row r="1086" spans="2:17" ht="22.5" x14ac:dyDescent="0.2">
      <c r="B1086" s="34">
        <v>1300000</v>
      </c>
      <c r="C1086" s="97" t="s">
        <v>622</v>
      </c>
      <c r="D1086" s="36">
        <v>530</v>
      </c>
      <c r="E1086" s="42" t="str">
        <f>IF(D1086&lt;=0,"",VLOOKUP(D1086,[9]FF!A:D,2,0))</f>
        <v>PARTICIPACIONES Ramo 28</v>
      </c>
      <c r="F1086" s="37" t="s">
        <v>623</v>
      </c>
      <c r="G1086" s="37" t="s">
        <v>458</v>
      </c>
      <c r="H1086" s="38">
        <v>347001</v>
      </c>
      <c r="I1086" s="41" t="str">
        <f>IF(H1086&lt;=0,"",VLOOKUP(H1086,[9]COG!A:H,2,0))</f>
        <v>Fletes, maniobras y almacenaje</v>
      </c>
      <c r="J1086" s="39">
        <f>0+1029+1902</f>
        <v>2931</v>
      </c>
      <c r="K1086" s="39">
        <f>3789+2173+2081</f>
        <v>8043</v>
      </c>
      <c r="L1086" s="39">
        <f>1029+1053+593</f>
        <v>2675</v>
      </c>
      <c r="M1086" s="39">
        <f>497+621+629</f>
        <v>1747</v>
      </c>
      <c r="N1086" s="1">
        <f>Tabla8[[#This Row],[TRIMESTRE  I]]+Tabla8[[#This Row],[TRIMESTRE II]]+Tabla8[[#This Row],[TRIMESTRE III]]+Tabla8[[#This Row],[TRIMESTRE IV]]</f>
        <v>15396</v>
      </c>
      <c r="O1086" s="39" t="s">
        <v>6</v>
      </c>
      <c r="P1086" s="79">
        <v>45324</v>
      </c>
      <c r="Q1086" s="59" t="s">
        <v>625</v>
      </c>
    </row>
    <row r="1087" spans="2:17" ht="22.5" x14ac:dyDescent="0.2">
      <c r="B1087" s="34">
        <v>1300000</v>
      </c>
      <c r="C1087" s="97" t="s">
        <v>622</v>
      </c>
      <c r="D1087" s="36">
        <v>530</v>
      </c>
      <c r="E1087" s="42" t="str">
        <f>IF(D1087&lt;=0,"",VLOOKUP(D1087,[9]FF!A:D,2,0))</f>
        <v>PARTICIPACIONES Ramo 28</v>
      </c>
      <c r="F1087" s="37" t="s">
        <v>623</v>
      </c>
      <c r="G1087" s="37" t="s">
        <v>458</v>
      </c>
      <c r="H1087" s="38">
        <v>351001</v>
      </c>
      <c r="I1087" s="41" t="str">
        <f>IF(H1087&lt;=0,"",VLOOKUP(H1087,[9]COG!A:H,2,0))</f>
        <v>Mantenimiento de inmuebles</v>
      </c>
      <c r="J1087" s="39">
        <f>0+6911+1479</f>
        <v>8390</v>
      </c>
      <c r="K1087" s="39">
        <f>12171+16426+11977</f>
        <v>40574</v>
      </c>
      <c r="L1087" s="39">
        <f>5386+6630+11052</f>
        <v>23068</v>
      </c>
      <c r="M1087" s="39">
        <f>4797+1954+1966</f>
        <v>8717</v>
      </c>
      <c r="N1087" s="1">
        <f>Tabla8[[#This Row],[TRIMESTRE  I]]+Tabla8[[#This Row],[TRIMESTRE II]]+Tabla8[[#This Row],[TRIMESTRE III]]+Tabla8[[#This Row],[TRIMESTRE IV]]</f>
        <v>80749</v>
      </c>
      <c r="O1087" s="39" t="s">
        <v>6</v>
      </c>
      <c r="P1087" s="79">
        <v>45324</v>
      </c>
      <c r="Q1087" s="59" t="s">
        <v>625</v>
      </c>
    </row>
    <row r="1088" spans="2:17" ht="22.5" x14ac:dyDescent="0.2">
      <c r="B1088" s="34">
        <v>1300000</v>
      </c>
      <c r="C1088" s="97" t="s">
        <v>622</v>
      </c>
      <c r="D1088" s="36">
        <v>530</v>
      </c>
      <c r="E1088" s="42" t="str">
        <f>IF(D1088&lt;=0,"",VLOOKUP(D1088,[9]FF!A:D,2,0))</f>
        <v>PARTICIPACIONES Ramo 28</v>
      </c>
      <c r="F1088" s="37" t="s">
        <v>623</v>
      </c>
      <c r="G1088" s="37" t="s">
        <v>458</v>
      </c>
      <c r="H1088" s="38">
        <v>351002</v>
      </c>
      <c r="I1088" s="41" t="str">
        <f>IF(H1088&lt;=0,"",VLOOKUP(H1088,[9]COG!A:H,2,0))</f>
        <v>Fumigación de Inmuebles</v>
      </c>
      <c r="J1088" s="39">
        <f>2975*3</f>
        <v>8925</v>
      </c>
      <c r="K1088" s="39">
        <f>2975*3</f>
        <v>8925</v>
      </c>
      <c r="L1088" s="39">
        <f>2975*3</f>
        <v>8925</v>
      </c>
      <c r="M1088" s="39">
        <f>2975*3</f>
        <v>8925</v>
      </c>
      <c r="N1088" s="1">
        <f>Tabla8[[#This Row],[TRIMESTRE  I]]+Tabla8[[#This Row],[TRIMESTRE II]]+Tabla8[[#This Row],[TRIMESTRE III]]+Tabla8[[#This Row],[TRIMESTRE IV]]</f>
        <v>35700</v>
      </c>
      <c r="O1088" s="39" t="s">
        <v>6</v>
      </c>
      <c r="P1088" s="79">
        <v>45324</v>
      </c>
      <c r="Q1088" s="59" t="s">
        <v>625</v>
      </c>
    </row>
    <row r="1089" spans="2:17" ht="22.5" x14ac:dyDescent="0.2">
      <c r="B1089" s="34">
        <v>1300000</v>
      </c>
      <c r="C1089" s="97" t="s">
        <v>622</v>
      </c>
      <c r="D1089" s="36">
        <v>530</v>
      </c>
      <c r="E1089" s="42" t="str">
        <f>IF(D1089&lt;=0,"",VLOOKUP(D1089,[9]FF!A:D,2,0))</f>
        <v>PARTICIPACIONES Ramo 28</v>
      </c>
      <c r="F1089" s="37" t="s">
        <v>623</v>
      </c>
      <c r="G1089" s="37" t="s">
        <v>458</v>
      </c>
      <c r="H1089" s="38">
        <v>352001</v>
      </c>
      <c r="I1089" s="41" t="str">
        <f>IF(H1089&lt;=0,"",VLOOKUP(H1089,[9]COG!A:H,2,0))</f>
        <v>Mantenimiento de mobiliario y equipo</v>
      </c>
      <c r="J1089" s="39">
        <f>0+850+2023</f>
        <v>2873</v>
      </c>
      <c r="K1089" s="39">
        <f>3919+2468+2364</f>
        <v>8751</v>
      </c>
      <c r="L1089" s="39">
        <f>817+1006+1050</f>
        <v>2873</v>
      </c>
      <c r="M1089" s="39">
        <f>880+1100+1104</f>
        <v>3084</v>
      </c>
      <c r="N1089" s="1">
        <f>Tabla8[[#This Row],[TRIMESTRE  I]]+Tabla8[[#This Row],[TRIMESTRE II]]+Tabla8[[#This Row],[TRIMESTRE III]]+Tabla8[[#This Row],[TRIMESTRE IV]]</f>
        <v>17581</v>
      </c>
      <c r="O1089" s="39" t="s">
        <v>6</v>
      </c>
      <c r="P1089" s="79">
        <v>45324</v>
      </c>
      <c r="Q1089" s="59" t="s">
        <v>625</v>
      </c>
    </row>
    <row r="1090" spans="2:17" ht="22.5" x14ac:dyDescent="0.2">
      <c r="B1090" s="34">
        <v>1300000</v>
      </c>
      <c r="C1090" s="97" t="s">
        <v>622</v>
      </c>
      <c r="D1090" s="36">
        <v>530</v>
      </c>
      <c r="E1090" s="42" t="str">
        <f>IF(D1090&lt;=0,"",VLOOKUP(D1090,[9]FF!A:D,2,0))</f>
        <v>PARTICIPACIONES Ramo 28</v>
      </c>
      <c r="F1090" s="37" t="s">
        <v>623</v>
      </c>
      <c r="G1090" s="37" t="s">
        <v>458</v>
      </c>
      <c r="H1090" s="38">
        <v>352002</v>
      </c>
      <c r="I1090" s="41" t="str">
        <f>IF(H1090&lt;=0,"",VLOOKUP(H1090,[9]COG!A:H,2,0))</f>
        <v>Gastos de instalación</v>
      </c>
      <c r="J1090" s="39">
        <f>0</f>
        <v>0</v>
      </c>
      <c r="K1090" s="39">
        <f>821+832+798</f>
        <v>2451</v>
      </c>
      <c r="L1090" s="39">
        <f>618+760+793</f>
        <v>2171</v>
      </c>
      <c r="M1090" s="39">
        <f>665+831+833</f>
        <v>2329</v>
      </c>
      <c r="N1090" s="1">
        <f>Tabla8[[#This Row],[TRIMESTRE  I]]+Tabla8[[#This Row],[TRIMESTRE II]]+Tabla8[[#This Row],[TRIMESTRE III]]+Tabla8[[#This Row],[TRIMESTRE IV]]</f>
        <v>6951</v>
      </c>
      <c r="O1090" s="39" t="s">
        <v>6</v>
      </c>
      <c r="P1090" s="79">
        <v>45324</v>
      </c>
      <c r="Q1090" s="59" t="s">
        <v>625</v>
      </c>
    </row>
    <row r="1091" spans="2:17" ht="27" x14ac:dyDescent="0.2">
      <c r="B1091" s="34">
        <v>1300000</v>
      </c>
      <c r="C1091" s="97" t="s">
        <v>622</v>
      </c>
      <c r="D1091" s="36">
        <v>530</v>
      </c>
      <c r="E1091" s="42" t="str">
        <f>IF(D1091&lt;=0,"",VLOOKUP(D1091,[9]FF!A:D,2,0))</f>
        <v>PARTICIPACIONES Ramo 28</v>
      </c>
      <c r="F1091" s="37" t="s">
        <v>623</v>
      </c>
      <c r="G1091" s="37" t="s">
        <v>458</v>
      </c>
      <c r="H1091" s="38">
        <v>353001</v>
      </c>
      <c r="I1091" s="41" t="str">
        <f>IF(H1091&lt;=0,"",VLOOKUP(H1091,[9]COG!A:H,2,0))</f>
        <v>Instalación, reparación y mantenimiento de equipo de cómputo y tecnología  de la información</v>
      </c>
      <c r="J1091" s="39">
        <f>2207</f>
        <v>2207</v>
      </c>
      <c r="K1091" s="39">
        <f>0</f>
        <v>0</v>
      </c>
      <c r="L1091" s="39">
        <f>0</f>
        <v>0</v>
      </c>
      <c r="M1091" s="39">
        <f>0</f>
        <v>0</v>
      </c>
      <c r="N1091" s="1">
        <f>Tabla8[[#This Row],[TRIMESTRE  I]]+Tabla8[[#This Row],[TRIMESTRE II]]+Tabla8[[#This Row],[TRIMESTRE III]]+Tabla8[[#This Row],[TRIMESTRE IV]]</f>
        <v>2207</v>
      </c>
      <c r="O1091" s="39" t="s">
        <v>6</v>
      </c>
      <c r="P1091" s="79">
        <v>45324</v>
      </c>
      <c r="Q1091" s="59" t="s">
        <v>625</v>
      </c>
    </row>
    <row r="1092" spans="2:17" ht="27" x14ac:dyDescent="0.2">
      <c r="B1092" s="34">
        <v>1300000</v>
      </c>
      <c r="C1092" s="97" t="s">
        <v>622</v>
      </c>
      <c r="D1092" s="36">
        <v>530</v>
      </c>
      <c r="E1092" s="42" t="str">
        <f>IF(D1092&lt;=0,"",VLOOKUP(D1092,[9]FF!A:D,2,0))</f>
        <v>PARTICIPACIONES Ramo 28</v>
      </c>
      <c r="F1092" s="37" t="s">
        <v>623</v>
      </c>
      <c r="G1092" s="37" t="s">
        <v>458</v>
      </c>
      <c r="H1092" s="38">
        <v>355001</v>
      </c>
      <c r="I1092" s="41" t="str">
        <f>IF(H1092&lt;=0,"",VLOOKUP(H1092,[9]COG!A:H,2,0))</f>
        <v>Mantto. y conservación de vehículos terrestres, aéreos, marítimos, lacustres y fluviales</v>
      </c>
      <c r="J1092" s="39">
        <f>87+15807+17453</f>
        <v>33347</v>
      </c>
      <c r="K1092" s="39">
        <f>17873+22370+18160</f>
        <v>58403</v>
      </c>
      <c r="L1092" s="39">
        <f>17226+12550+16730</f>
        <v>46506</v>
      </c>
      <c r="M1092" s="39">
        <f>5994+9485+5740</f>
        <v>21219</v>
      </c>
      <c r="N1092" s="1">
        <f>Tabla8[[#This Row],[TRIMESTRE  I]]+Tabla8[[#This Row],[TRIMESTRE II]]+Tabla8[[#This Row],[TRIMESTRE III]]+Tabla8[[#This Row],[TRIMESTRE IV]]</f>
        <v>159475</v>
      </c>
      <c r="O1092" s="39" t="s">
        <v>6</v>
      </c>
      <c r="P1092" s="79">
        <v>45324</v>
      </c>
      <c r="Q1092" s="59" t="s">
        <v>625</v>
      </c>
    </row>
    <row r="1093" spans="2:17" ht="22.5" x14ac:dyDescent="0.2">
      <c r="B1093" s="34">
        <v>1300000</v>
      </c>
      <c r="C1093" s="97" t="s">
        <v>622</v>
      </c>
      <c r="D1093" s="36">
        <v>530</v>
      </c>
      <c r="E1093" s="42" t="str">
        <f>IF(D1093&lt;=0,"",VLOOKUP(D1093,[9]FF!A:D,2,0))</f>
        <v>PARTICIPACIONES Ramo 28</v>
      </c>
      <c r="F1093" s="37" t="s">
        <v>623</v>
      </c>
      <c r="G1093" s="37" t="s">
        <v>458</v>
      </c>
      <c r="H1093" s="38">
        <v>358001</v>
      </c>
      <c r="I1093" s="41" t="str">
        <f>IF(H1093&lt;=0,"",VLOOKUP(H1093,[9]COG!A:H,2,0))</f>
        <v>Servicios de higiene y limpieza</v>
      </c>
      <c r="J1093" s="39">
        <f>8822+9000+9500+1000+1229</f>
        <v>29551</v>
      </c>
      <c r="K1093" s="39">
        <f>8800+8500+8900+1651+1659+1642</f>
        <v>31152</v>
      </c>
      <c r="L1093" s="39">
        <f>8500+8500+8800+1624+1605+1603</f>
        <v>30632</v>
      </c>
      <c r="M1093" s="39">
        <f>8050+8299+8050+1569+1606+1432</f>
        <v>29006</v>
      </c>
      <c r="N1093" s="1">
        <f>Tabla8[[#This Row],[TRIMESTRE  I]]+Tabla8[[#This Row],[TRIMESTRE II]]+Tabla8[[#This Row],[TRIMESTRE III]]+Tabla8[[#This Row],[TRIMESTRE IV]]</f>
        <v>120341</v>
      </c>
      <c r="O1093" s="39" t="s">
        <v>7</v>
      </c>
      <c r="P1093" s="79">
        <v>45324</v>
      </c>
      <c r="Q1093" s="83" t="s">
        <v>501</v>
      </c>
    </row>
    <row r="1094" spans="2:17" ht="22.5" x14ac:dyDescent="0.2">
      <c r="B1094" s="34">
        <v>1300000</v>
      </c>
      <c r="C1094" s="97" t="s">
        <v>622</v>
      </c>
      <c r="D1094" s="36">
        <v>530</v>
      </c>
      <c r="E1094" s="42" t="str">
        <f>IF(D1094&lt;=0,"",VLOOKUP(D1094,[9]FF!A:D,2,0))</f>
        <v>PARTICIPACIONES Ramo 28</v>
      </c>
      <c r="F1094" s="37" t="s">
        <v>623</v>
      </c>
      <c r="G1094" s="37" t="s">
        <v>458</v>
      </c>
      <c r="H1094" s="38">
        <v>358002</v>
      </c>
      <c r="I1094" s="41" t="str">
        <f>IF(H1094&lt;=0,"",VLOOKUP(H1094,[9]COG!A:H,2,0))</f>
        <v>Servicios de Limpieza y Lavado de Vehículos</v>
      </c>
      <c r="J1094" s="39">
        <f>383+829+1275</f>
        <v>2487</v>
      </c>
      <c r="K1094" s="39">
        <f>1381+1794+1780</f>
        <v>4955</v>
      </c>
      <c r="L1094" s="39">
        <f>1609+1278+558</f>
        <v>3445</v>
      </c>
      <c r="M1094" s="39">
        <f>530+566+567</f>
        <v>1663</v>
      </c>
      <c r="N1094" s="1">
        <f>Tabla8[[#This Row],[TRIMESTRE  I]]+Tabla8[[#This Row],[TRIMESTRE II]]+Tabla8[[#This Row],[TRIMESTRE III]]+Tabla8[[#This Row],[TRIMESTRE IV]]</f>
        <v>12550</v>
      </c>
      <c r="O1094" s="39" t="s">
        <v>6</v>
      </c>
      <c r="P1094" s="79">
        <v>45324</v>
      </c>
      <c r="Q1094" s="64" t="s">
        <v>625</v>
      </c>
    </row>
    <row r="1095" spans="2:17" ht="22.5" x14ac:dyDescent="0.2">
      <c r="B1095" s="34">
        <v>1300000</v>
      </c>
      <c r="C1095" s="97" t="s">
        <v>622</v>
      </c>
      <c r="D1095" s="36">
        <v>530</v>
      </c>
      <c r="E1095" s="42" t="str">
        <f>IF(D1095&lt;=0,"",VLOOKUP(D1095,[9]FF!A:D,2,0))</f>
        <v>PARTICIPACIONES Ramo 28</v>
      </c>
      <c r="F1095" s="37" t="s">
        <v>623</v>
      </c>
      <c r="G1095" s="37" t="s">
        <v>458</v>
      </c>
      <c r="H1095" s="38">
        <v>361001</v>
      </c>
      <c r="I1095" s="41" t="str">
        <f>IF(H1095&lt;=0,"",VLOOKUP(H1095,[9]COG!A:H,2,0))</f>
        <v>Gastos de difusión</v>
      </c>
      <c r="J1095" s="39">
        <v>60600</v>
      </c>
      <c r="K1095" s="39">
        <v>85000</v>
      </c>
      <c r="L1095" s="39">
        <v>58700</v>
      </c>
      <c r="M1095" s="39">
        <v>82154</v>
      </c>
      <c r="N1095" s="1">
        <f>Tabla8[[#This Row],[TRIMESTRE  I]]+Tabla8[[#This Row],[TRIMESTRE II]]+Tabla8[[#This Row],[TRIMESTRE III]]+Tabla8[[#This Row],[TRIMESTRE IV]]</f>
        <v>286454</v>
      </c>
      <c r="O1095" s="39" t="s">
        <v>6</v>
      </c>
      <c r="P1095" s="79">
        <v>45324</v>
      </c>
      <c r="Q1095" s="64" t="s">
        <v>625</v>
      </c>
    </row>
    <row r="1096" spans="2:17" ht="22.5" x14ac:dyDescent="0.2">
      <c r="B1096" s="34">
        <v>1300000</v>
      </c>
      <c r="C1096" s="97" t="s">
        <v>622</v>
      </c>
      <c r="D1096" s="36">
        <v>530</v>
      </c>
      <c r="E1096" s="42" t="str">
        <f>IF(D1096&lt;=0,"",VLOOKUP(D1096,[9]FF!A:D,2,0))</f>
        <v>PARTICIPACIONES Ramo 28</v>
      </c>
      <c r="F1096" s="37" t="s">
        <v>623</v>
      </c>
      <c r="G1096" s="37" t="s">
        <v>458</v>
      </c>
      <c r="H1096" s="38">
        <v>361002</v>
      </c>
      <c r="I1096" s="41" t="str">
        <f>IF(H1096&lt;=0,"",VLOOKUP(H1096,[9]COG!A:H,2,0))</f>
        <v>Impresiones y publicaciones oficiales</v>
      </c>
      <c r="J1096" s="39">
        <f>0+850+154</f>
        <v>1004</v>
      </c>
      <c r="K1096" s="39">
        <f>8962+8962+5154</f>
        <v>23078</v>
      </c>
      <c r="L1096" s="39">
        <f>2015+1620+1689</f>
        <v>5324</v>
      </c>
      <c r="M1096" s="39">
        <f>1414+1770+1782</f>
        <v>4966</v>
      </c>
      <c r="N1096" s="1">
        <f>Tabla8[[#This Row],[TRIMESTRE  I]]+Tabla8[[#This Row],[TRIMESTRE II]]+Tabla8[[#This Row],[TRIMESTRE III]]+Tabla8[[#This Row],[TRIMESTRE IV]]</f>
        <v>34372</v>
      </c>
      <c r="O1096" s="39" t="s">
        <v>6</v>
      </c>
      <c r="P1096" s="79">
        <v>45324</v>
      </c>
      <c r="Q1096" s="59" t="s">
        <v>625</v>
      </c>
    </row>
    <row r="1097" spans="2:17" ht="22.5" x14ac:dyDescent="0.2">
      <c r="B1097" s="34">
        <v>1300000</v>
      </c>
      <c r="C1097" s="97" t="s">
        <v>622</v>
      </c>
      <c r="D1097" s="36">
        <v>530</v>
      </c>
      <c r="E1097" s="42" t="str">
        <f>IF(D1097&lt;=0,"",VLOOKUP(D1097,[9]FF!A:D,2,0))</f>
        <v>PARTICIPACIONES Ramo 28</v>
      </c>
      <c r="F1097" s="37" t="s">
        <v>623</v>
      </c>
      <c r="G1097" s="37" t="s">
        <v>458</v>
      </c>
      <c r="H1097" s="38">
        <v>361003</v>
      </c>
      <c r="I1097" s="41" t="str">
        <f>IF(H1097&lt;=0,"",VLOOKUP(H1097,[9]COG!A:H,2,0))</f>
        <v>Rotulaciones oficiales</v>
      </c>
      <c r="J1097" s="39">
        <f>0</f>
        <v>0</v>
      </c>
      <c r="K1097" s="39">
        <f>4621+3529+3414</f>
        <v>11564</v>
      </c>
      <c r="L1097" s="39">
        <f>1126+1386+1447</f>
        <v>3959</v>
      </c>
      <c r="M1097" s="39">
        <f>1210+1514+1524</f>
        <v>4248</v>
      </c>
      <c r="N1097" s="1">
        <f>Tabla8[[#This Row],[TRIMESTRE  I]]+Tabla8[[#This Row],[TRIMESTRE II]]+Tabla8[[#This Row],[TRIMESTRE III]]+Tabla8[[#This Row],[TRIMESTRE IV]]</f>
        <v>19771</v>
      </c>
      <c r="O1097" s="39" t="s">
        <v>6</v>
      </c>
      <c r="P1097" s="79">
        <v>45324</v>
      </c>
      <c r="Q1097" s="59" t="s">
        <v>625</v>
      </c>
    </row>
    <row r="1098" spans="2:17" ht="22.5" x14ac:dyDescent="0.2">
      <c r="B1098" s="34">
        <v>1300000</v>
      </c>
      <c r="C1098" s="97" t="s">
        <v>622</v>
      </c>
      <c r="D1098" s="36">
        <v>530</v>
      </c>
      <c r="E1098" s="42" t="str">
        <f>IF(D1098&lt;=0,"",VLOOKUP(D1098,[9]FF!A:D,2,0))</f>
        <v>PARTICIPACIONES Ramo 28</v>
      </c>
      <c r="F1098" s="37" t="s">
        <v>623</v>
      </c>
      <c r="G1098" s="37" t="s">
        <v>458</v>
      </c>
      <c r="H1098" s="38">
        <v>371001</v>
      </c>
      <c r="I1098" s="41" t="str">
        <f>IF(H1098&lt;=0,"",VLOOKUP(H1098,[9]COG!A:H,2,0))</f>
        <v>Pasajes aéreos</v>
      </c>
      <c r="J1098" s="39">
        <v>162386</v>
      </c>
      <c r="K1098" s="39">
        <f>70652+81901+58799+6375+10625+6375+4879+12555+13345+12447</f>
        <v>277953</v>
      </c>
      <c r="L1098" s="39">
        <f>175995+21420+33823+4775</f>
        <v>236013</v>
      </c>
      <c r="M1098" s="39">
        <f>121721+23715+24741</f>
        <v>170177</v>
      </c>
      <c r="N1098" s="1">
        <f>Tabla8[[#This Row],[TRIMESTRE  I]]+Tabla8[[#This Row],[TRIMESTRE II]]+Tabla8[[#This Row],[TRIMESTRE III]]+Tabla8[[#This Row],[TRIMESTRE IV]]</f>
        <v>846529</v>
      </c>
      <c r="O1098" s="39" t="s">
        <v>5</v>
      </c>
      <c r="P1098" s="79">
        <v>45324</v>
      </c>
      <c r="Q1098" s="59" t="s">
        <v>628</v>
      </c>
    </row>
    <row r="1099" spans="2:17" ht="22.5" x14ac:dyDescent="0.2">
      <c r="B1099" s="34">
        <v>1300000</v>
      </c>
      <c r="C1099" s="97" t="s">
        <v>622</v>
      </c>
      <c r="D1099" s="36">
        <v>530</v>
      </c>
      <c r="E1099" s="42" t="str">
        <f>IF(D1099&lt;=0,"",VLOOKUP(D1099,[9]FF!A:D,2,0))</f>
        <v>PARTICIPACIONES Ramo 28</v>
      </c>
      <c r="F1099" s="37" t="s">
        <v>623</v>
      </c>
      <c r="G1099" s="37" t="s">
        <v>458</v>
      </c>
      <c r="H1099" s="38">
        <v>372001</v>
      </c>
      <c r="I1099" s="41" t="str">
        <f>IF(H1099&lt;=0,"",VLOOKUP(H1099,[9]COG!A:H,2,0))</f>
        <v>Pasajes terrestres</v>
      </c>
      <c r="J1099" s="39">
        <f>0+1912+342</f>
        <v>2254</v>
      </c>
      <c r="K1099" s="39">
        <f>337+418+330</f>
        <v>1085</v>
      </c>
      <c r="L1099" s="39">
        <f>255+315+3268</f>
        <v>3838</v>
      </c>
      <c r="M1099" s="39">
        <f>274+343+344</f>
        <v>961</v>
      </c>
      <c r="N1099" s="1">
        <f>Tabla8[[#This Row],[TRIMESTRE  I]]+Tabla8[[#This Row],[TRIMESTRE II]]+Tabla8[[#This Row],[TRIMESTRE III]]+Tabla8[[#This Row],[TRIMESTRE IV]]</f>
        <v>8138</v>
      </c>
      <c r="O1099" s="39" t="s">
        <v>6</v>
      </c>
      <c r="P1099" s="79">
        <v>45324</v>
      </c>
      <c r="Q1099" s="59" t="s">
        <v>625</v>
      </c>
    </row>
    <row r="1100" spans="2:17" ht="22.5" x14ac:dyDescent="0.2">
      <c r="B1100" s="34">
        <v>1300000</v>
      </c>
      <c r="C1100" s="97" t="s">
        <v>622</v>
      </c>
      <c r="D1100" s="36">
        <v>530</v>
      </c>
      <c r="E1100" s="42" t="str">
        <f>IF(D1100&lt;=0,"",VLOOKUP(D1100,[9]FF!A:D,2,0))</f>
        <v>PARTICIPACIONES Ramo 28</v>
      </c>
      <c r="F1100" s="37" t="s">
        <v>623</v>
      </c>
      <c r="G1100" s="37" t="s">
        <v>458</v>
      </c>
      <c r="H1100" s="38">
        <v>375001</v>
      </c>
      <c r="I1100" s="41" t="str">
        <f>IF(H1100&lt;=0,"",VLOOKUP(H1100,[9]COG!A:H,2,0))</f>
        <v>Viáticos</v>
      </c>
      <c r="J1100" s="39">
        <v>354706</v>
      </c>
      <c r="K1100" s="39">
        <f>122497+121739+121584</f>
        <v>365820</v>
      </c>
      <c r="L1100" s="39">
        <f>117720+120811+111494</f>
        <v>350025</v>
      </c>
      <c r="M1100" s="39">
        <f>114102+111129+96129</f>
        <v>321360</v>
      </c>
      <c r="N1100" s="1">
        <f>Tabla8[[#This Row],[TRIMESTRE  I]]+Tabla8[[#This Row],[TRIMESTRE II]]+Tabla8[[#This Row],[TRIMESTRE III]]+Tabla8[[#This Row],[TRIMESTRE IV]]</f>
        <v>1391911</v>
      </c>
      <c r="O1100" s="39"/>
      <c r="P1100" s="79"/>
      <c r="Q1100" s="59" t="s">
        <v>625</v>
      </c>
    </row>
    <row r="1101" spans="2:17" ht="22.5" x14ac:dyDescent="0.2">
      <c r="B1101" s="34">
        <v>1300000</v>
      </c>
      <c r="C1101" s="97" t="s">
        <v>622</v>
      </c>
      <c r="D1101" s="36">
        <v>530</v>
      </c>
      <c r="E1101" s="42" t="str">
        <f>IF(D1101&lt;=0,"",VLOOKUP(D1101,[9]FF!A:D,2,0))</f>
        <v>PARTICIPACIONES Ramo 28</v>
      </c>
      <c r="F1101" s="37" t="s">
        <v>623</v>
      </c>
      <c r="G1101" s="37" t="s">
        <v>458</v>
      </c>
      <c r="H1101" s="38">
        <v>376001</v>
      </c>
      <c r="I1101" s="41" t="str">
        <f>IF(H1101&lt;=0,"",VLOOKUP(H1101,[9]COG!A:H,2,0))</f>
        <v>Viáticos en el extranjero</v>
      </c>
      <c r="J1101" s="39">
        <f>68000+55250</f>
        <v>123250</v>
      </c>
      <c r="K1101" s="39">
        <f>0+0+31451</f>
        <v>31451</v>
      </c>
      <c r="L1101" s="39">
        <f>0+0+21928</f>
        <v>21928</v>
      </c>
      <c r="M1101" s="39">
        <f>0</f>
        <v>0</v>
      </c>
      <c r="N1101" s="1">
        <f>Tabla8[[#This Row],[TRIMESTRE  I]]+Tabla8[[#This Row],[TRIMESTRE II]]+Tabla8[[#This Row],[TRIMESTRE III]]+Tabla8[[#This Row],[TRIMESTRE IV]]</f>
        <v>176629</v>
      </c>
      <c r="O1101" s="39"/>
      <c r="P1101" s="79"/>
      <c r="Q1101" s="59" t="s">
        <v>625</v>
      </c>
    </row>
    <row r="1102" spans="2:17" ht="22.5" x14ac:dyDescent="0.2">
      <c r="B1102" s="34">
        <v>1300000</v>
      </c>
      <c r="C1102" s="97" t="s">
        <v>622</v>
      </c>
      <c r="D1102" s="36">
        <v>530</v>
      </c>
      <c r="E1102" s="42" t="str">
        <f>IF(D1102&lt;=0,"",VLOOKUP(D1102,[9]FF!A:D,2,0))</f>
        <v>PARTICIPACIONES Ramo 28</v>
      </c>
      <c r="F1102" s="37" t="s">
        <v>623</v>
      </c>
      <c r="G1102" s="37" t="s">
        <v>458</v>
      </c>
      <c r="H1102" s="38">
        <v>379003</v>
      </c>
      <c r="I1102" s="41" t="str">
        <f>IF(H1102&lt;=0,"",VLOOKUP(H1102,[9]COG!A:H,2,0))</f>
        <v>Hospedaje de personas</v>
      </c>
      <c r="J1102" s="39">
        <f>48281+26546+2871</f>
        <v>77698</v>
      </c>
      <c r="K1102" s="39">
        <v>54235</v>
      </c>
      <c r="L1102" s="39">
        <f>28050+8500</f>
        <v>36550</v>
      </c>
      <c r="M1102" s="39">
        <f>30600+12750</f>
        <v>43350</v>
      </c>
      <c r="N1102" s="1">
        <f>Tabla8[[#This Row],[TRIMESTRE  I]]+Tabla8[[#This Row],[TRIMESTRE II]]+Tabla8[[#This Row],[TRIMESTRE III]]+Tabla8[[#This Row],[TRIMESTRE IV]]</f>
        <v>211833</v>
      </c>
      <c r="O1102" s="39" t="s">
        <v>6</v>
      </c>
      <c r="P1102" s="79">
        <v>45324</v>
      </c>
      <c r="Q1102" s="59" t="s">
        <v>625</v>
      </c>
    </row>
    <row r="1103" spans="2:17" ht="22.5" x14ac:dyDescent="0.2">
      <c r="B1103" s="34">
        <v>1300000</v>
      </c>
      <c r="C1103" s="97" t="s">
        <v>622</v>
      </c>
      <c r="D1103" s="36">
        <v>530</v>
      </c>
      <c r="E1103" s="42" t="str">
        <f>IF(D1103&lt;=0,"",VLOOKUP(D1103,[9]FF!A:D,2,0))</f>
        <v>PARTICIPACIONES Ramo 28</v>
      </c>
      <c r="F1103" s="37" t="s">
        <v>623</v>
      </c>
      <c r="G1103" s="37" t="s">
        <v>458</v>
      </c>
      <c r="H1103" s="38">
        <v>382002</v>
      </c>
      <c r="I1103" s="41" t="str">
        <f>IF(H1103&lt;=0,"",VLOOKUP(H1103,[9]COG!A:H,2,0))</f>
        <v>Gastos de recepción, conmemorativos y de orden social</v>
      </c>
      <c r="J1103" s="39">
        <f>0+6042+5450+1100+2061</f>
        <v>14653</v>
      </c>
      <c r="K1103" s="39">
        <f>65183+40159+22428+5560+16152</f>
        <v>149482</v>
      </c>
      <c r="L1103" s="39">
        <f>2644+2613+26481+2051+676+811+11256</f>
        <v>46532</v>
      </c>
      <c r="M1103" s="39">
        <v>13565</v>
      </c>
      <c r="N1103" s="1">
        <f>Tabla8[[#This Row],[TRIMESTRE  I]]+Tabla8[[#This Row],[TRIMESTRE II]]+Tabla8[[#This Row],[TRIMESTRE III]]+Tabla8[[#This Row],[TRIMESTRE IV]]</f>
        <v>224232</v>
      </c>
      <c r="O1103" s="39" t="s">
        <v>6</v>
      </c>
      <c r="P1103" s="79">
        <v>45324</v>
      </c>
      <c r="Q1103" s="59" t="s">
        <v>625</v>
      </c>
    </row>
    <row r="1104" spans="2:17" ht="22.5" x14ac:dyDescent="0.2">
      <c r="B1104" s="34">
        <v>1300000</v>
      </c>
      <c r="C1104" s="97" t="s">
        <v>622</v>
      </c>
      <c r="D1104" s="36">
        <v>530</v>
      </c>
      <c r="E1104" s="42" t="str">
        <f>IF(D1104&lt;=0,"",VLOOKUP(D1104,[9]FF!A:D,2,0))</f>
        <v>PARTICIPACIONES Ramo 28</v>
      </c>
      <c r="F1104" s="37" t="s">
        <v>623</v>
      </c>
      <c r="G1104" s="37" t="s">
        <v>458</v>
      </c>
      <c r="H1104" s="38">
        <v>382004</v>
      </c>
      <c r="I1104" s="41" t="str">
        <f>IF(H1104&lt;=0,"",VLOOKUP(H1104,[9]COG!A:H,2,0))</f>
        <v>Festividades y Eventos</v>
      </c>
      <c r="J1104" s="39">
        <f>0</f>
        <v>0</v>
      </c>
      <c r="K1104" s="39">
        <f>0</f>
        <v>0</v>
      </c>
      <c r="L1104" s="39">
        <f>0</f>
        <v>0</v>
      </c>
      <c r="M1104" s="39">
        <f>0+0+1390</f>
        <v>1390</v>
      </c>
      <c r="N1104" s="1">
        <f>Tabla8[[#This Row],[TRIMESTRE  I]]+Tabla8[[#This Row],[TRIMESTRE II]]+Tabla8[[#This Row],[TRIMESTRE III]]+Tabla8[[#This Row],[TRIMESTRE IV]]</f>
        <v>1390</v>
      </c>
      <c r="O1104" s="39" t="s">
        <v>6</v>
      </c>
      <c r="P1104" s="79">
        <v>45324</v>
      </c>
      <c r="Q1104" s="59" t="s">
        <v>625</v>
      </c>
    </row>
    <row r="1105" spans="2:17" ht="22.5" x14ac:dyDescent="0.2">
      <c r="B1105" s="34">
        <v>1300000</v>
      </c>
      <c r="C1105" s="97" t="s">
        <v>622</v>
      </c>
      <c r="D1105" s="36">
        <v>530</v>
      </c>
      <c r="E1105" s="42" t="str">
        <f>IF(D1105&lt;=0,"",VLOOKUP(D1105,[9]FF!A:D,2,0))</f>
        <v>PARTICIPACIONES Ramo 28</v>
      </c>
      <c r="F1105" s="37" t="s">
        <v>623</v>
      </c>
      <c r="G1105" s="37" t="s">
        <v>458</v>
      </c>
      <c r="H1105" s="38">
        <v>383001</v>
      </c>
      <c r="I1105" s="41" t="str">
        <f>IF(H1105&lt;=0,"",VLOOKUP(H1105,[9]COG!A:H,2,0))</f>
        <v>Congresos y convenciones</v>
      </c>
      <c r="J1105" s="39">
        <v>123561</v>
      </c>
      <c r="K1105" s="39">
        <f>17509+28542+18823</f>
        <v>64874</v>
      </c>
      <c r="L1105" s="39">
        <f>12941+10385+17786</f>
        <v>41112</v>
      </c>
      <c r="M1105" s="39">
        <v>6862</v>
      </c>
      <c r="N1105" s="1">
        <f>Tabla8[[#This Row],[TRIMESTRE  I]]+Tabla8[[#This Row],[TRIMESTRE II]]+Tabla8[[#This Row],[TRIMESTRE III]]+Tabla8[[#This Row],[TRIMESTRE IV]]</f>
        <v>236409</v>
      </c>
      <c r="O1105" s="39" t="s">
        <v>6</v>
      </c>
      <c r="P1105" s="79">
        <v>45324</v>
      </c>
      <c r="Q1105" s="59" t="s">
        <v>625</v>
      </c>
    </row>
    <row r="1106" spans="2:17" ht="22.5" x14ac:dyDescent="0.2">
      <c r="B1106" s="34">
        <v>1300000</v>
      </c>
      <c r="C1106" s="97" t="s">
        <v>622</v>
      </c>
      <c r="D1106" s="36">
        <v>530</v>
      </c>
      <c r="E1106" s="42" t="str">
        <f>IF(D1106&lt;=0,"",VLOOKUP(D1106,[9]FF!A:D,2,0))</f>
        <v>PARTICIPACIONES Ramo 28</v>
      </c>
      <c r="F1106" s="37" t="s">
        <v>623</v>
      </c>
      <c r="G1106" s="37" t="s">
        <v>458</v>
      </c>
      <c r="H1106" s="38">
        <v>384001</v>
      </c>
      <c r="I1106" s="41" t="str">
        <f>IF(H1106&lt;=0,"",VLOOKUP(H1106,[9]COG!A:H,2,0))</f>
        <v>Exposiciones</v>
      </c>
      <c r="J1106" s="39">
        <f>7500*3</f>
        <v>22500</v>
      </c>
      <c r="K1106" s="39">
        <f>7500*3</f>
        <v>22500</v>
      </c>
      <c r="L1106" s="39">
        <f>7500*3</f>
        <v>22500</v>
      </c>
      <c r="M1106" s="39">
        <f>7500*3</f>
        <v>22500</v>
      </c>
      <c r="N1106" s="1">
        <f>Tabla8[[#This Row],[TRIMESTRE  I]]+Tabla8[[#This Row],[TRIMESTRE II]]+Tabla8[[#This Row],[TRIMESTRE III]]+Tabla8[[#This Row],[TRIMESTRE IV]]</f>
        <v>90000</v>
      </c>
      <c r="O1106" s="39" t="s">
        <v>6</v>
      </c>
      <c r="P1106" s="79">
        <v>45324</v>
      </c>
      <c r="Q1106" s="59" t="s">
        <v>625</v>
      </c>
    </row>
    <row r="1107" spans="2:17" ht="22.5" x14ac:dyDescent="0.2">
      <c r="B1107" s="34">
        <v>1300000</v>
      </c>
      <c r="C1107" s="97" t="s">
        <v>622</v>
      </c>
      <c r="D1107" s="36">
        <v>530</v>
      </c>
      <c r="E1107" s="42" t="str">
        <f>IF(D1107&lt;=0,"",VLOOKUP(D1107,[9]FF!A:D,2,0))</f>
        <v>PARTICIPACIONES Ramo 28</v>
      </c>
      <c r="F1107" s="37" t="s">
        <v>623</v>
      </c>
      <c r="G1107" s="37" t="s">
        <v>458</v>
      </c>
      <c r="H1107" s="38">
        <v>385001</v>
      </c>
      <c r="I1107" s="41" t="str">
        <f>IF(H1107&lt;=0,"",VLOOKUP(H1107,[9]COG!A:H,2,0))</f>
        <v>Gastos de representación</v>
      </c>
      <c r="J1107" s="39">
        <f>0</f>
        <v>0</v>
      </c>
      <c r="K1107" s="39">
        <f>9075+0+14135</f>
        <v>23210</v>
      </c>
      <c r="L1107" s="39">
        <f>0</f>
        <v>0</v>
      </c>
      <c r="M1107" s="39">
        <f>0</f>
        <v>0</v>
      </c>
      <c r="N1107" s="1">
        <f>Tabla8[[#This Row],[TRIMESTRE  I]]+Tabla8[[#This Row],[TRIMESTRE II]]+Tabla8[[#This Row],[TRIMESTRE III]]+Tabla8[[#This Row],[TRIMESTRE IV]]</f>
        <v>23210</v>
      </c>
      <c r="O1107" s="39" t="s">
        <v>6</v>
      </c>
      <c r="P1107" s="79">
        <v>45324</v>
      </c>
      <c r="Q1107" s="59" t="s">
        <v>625</v>
      </c>
    </row>
    <row r="1108" spans="2:17" ht="22.5" x14ac:dyDescent="0.2">
      <c r="B1108" s="34">
        <v>1300000</v>
      </c>
      <c r="C1108" s="97" t="s">
        <v>622</v>
      </c>
      <c r="D1108" s="36">
        <v>530</v>
      </c>
      <c r="E1108" s="42" t="str">
        <f>IF(D1108&lt;=0,"",VLOOKUP(D1108,[9]FF!A:D,2,0))</f>
        <v>PARTICIPACIONES Ramo 28</v>
      </c>
      <c r="F1108" s="37" t="s">
        <v>623</v>
      </c>
      <c r="G1108" s="37" t="s">
        <v>458</v>
      </c>
      <c r="H1108" s="38">
        <v>392001</v>
      </c>
      <c r="I1108" s="41" t="str">
        <f>IF(H1108&lt;=0,"",VLOOKUP(H1108,[9]COG!A:H,2,0))</f>
        <v>Impuestos y derechos</v>
      </c>
      <c r="J1108" s="39">
        <v>12855</v>
      </c>
      <c r="K1108" s="39">
        <f>0</f>
        <v>0</v>
      </c>
      <c r="L1108" s="39">
        <f>0</f>
        <v>0</v>
      </c>
      <c r="M1108" s="39">
        <f>0</f>
        <v>0</v>
      </c>
      <c r="N1108" s="1">
        <f>Tabla8[[#This Row],[TRIMESTRE  I]]+Tabla8[[#This Row],[TRIMESTRE II]]+Tabla8[[#This Row],[TRIMESTRE III]]+Tabla8[[#This Row],[TRIMESTRE IV]]</f>
        <v>12855</v>
      </c>
      <c r="O1108" s="39"/>
      <c r="P1108" s="79"/>
      <c r="Q1108" s="59" t="s">
        <v>625</v>
      </c>
    </row>
    <row r="1109" spans="2:17" ht="22.5" x14ac:dyDescent="0.2">
      <c r="B1109" s="34">
        <v>1300000</v>
      </c>
      <c r="C1109" s="97" t="s">
        <v>629</v>
      </c>
      <c r="D1109" s="36">
        <v>530</v>
      </c>
      <c r="E1109" s="42" t="str">
        <f>IF(D1109&lt;=0,"",VLOOKUP(D1109,[9]FF!A:D,2,0))</f>
        <v>PARTICIPACIONES Ramo 28</v>
      </c>
      <c r="F1109" s="37" t="s">
        <v>630</v>
      </c>
      <c r="G1109" s="37" t="s">
        <v>461</v>
      </c>
      <c r="H1109" s="38">
        <v>211001</v>
      </c>
      <c r="I1109" s="41" t="str">
        <f>IF(H1109&lt;=0,"",VLOOKUP(H1109,[9]COG!A:H,2,0))</f>
        <v>Material de oficina</v>
      </c>
      <c r="J1109" s="39">
        <f>312+1524+354</f>
        <v>2190</v>
      </c>
      <c r="K1109" s="39">
        <f>1148*3</f>
        <v>3444</v>
      </c>
      <c r="L1109" s="39">
        <f>459+1148+1148</f>
        <v>2755</v>
      </c>
      <c r="M1109" s="39">
        <f>1148+1148+467</f>
        <v>2763</v>
      </c>
      <c r="N1109" s="1">
        <f>Tabla8[[#This Row],[TRIMESTRE  I]]+Tabla8[[#This Row],[TRIMESTRE II]]+Tabla8[[#This Row],[TRIMESTRE III]]+Tabla8[[#This Row],[TRIMESTRE IV]]</f>
        <v>11152</v>
      </c>
      <c r="O1109" s="39" t="s">
        <v>5</v>
      </c>
      <c r="P1109" s="79" t="s">
        <v>624</v>
      </c>
      <c r="Q1109" s="59" t="s">
        <v>486</v>
      </c>
    </row>
    <row r="1110" spans="2:17" ht="22.5" x14ac:dyDescent="0.2">
      <c r="B1110" s="34">
        <v>1300000</v>
      </c>
      <c r="C1110" s="97" t="s">
        <v>629</v>
      </c>
      <c r="D1110" s="36">
        <v>530</v>
      </c>
      <c r="E1110" s="42" t="str">
        <f>IF(D1110&lt;=0,"",VLOOKUP(D1110,[9]FF!A:D,2,0))</f>
        <v>PARTICIPACIONES Ramo 28</v>
      </c>
      <c r="F1110" s="37" t="s">
        <v>630</v>
      </c>
      <c r="G1110" s="37" t="s">
        <v>461</v>
      </c>
      <c r="H1110" s="38">
        <v>212001</v>
      </c>
      <c r="I1110" s="41" t="str">
        <f>IF(H1110&lt;=0,"",VLOOKUP(H1110,[9]COG!A:H,2,0))</f>
        <v>Material y útiles de impresión</v>
      </c>
      <c r="J1110" s="39">
        <f>3476+5099+6634</f>
        <v>15209</v>
      </c>
      <c r="K1110" s="39">
        <f>4428+2457+3352</f>
        <v>10237</v>
      </c>
      <c r="L1110" s="39">
        <f>4088+2920+6421</f>
        <v>13429</v>
      </c>
      <c r="M1110" s="39">
        <f>4628+5141+4463</f>
        <v>14232</v>
      </c>
      <c r="N1110" s="1">
        <f>Tabla8[[#This Row],[TRIMESTRE  I]]+Tabla8[[#This Row],[TRIMESTRE II]]+Tabla8[[#This Row],[TRIMESTRE III]]+Tabla8[[#This Row],[TRIMESTRE IV]]</f>
        <v>53107</v>
      </c>
      <c r="O1110" s="39" t="s">
        <v>6</v>
      </c>
      <c r="P1110" s="79">
        <v>45324</v>
      </c>
      <c r="Q1110" s="59" t="s">
        <v>625</v>
      </c>
    </row>
    <row r="1111" spans="2:17" ht="22.5" x14ac:dyDescent="0.2">
      <c r="B1111" s="34">
        <v>1300000</v>
      </c>
      <c r="C1111" s="97" t="s">
        <v>629</v>
      </c>
      <c r="D1111" s="36">
        <v>530</v>
      </c>
      <c r="E1111" s="42" t="str">
        <f>IF(D1111&lt;=0,"",VLOOKUP(D1111,[9]FF!A:D,2,0))</f>
        <v>PARTICIPACIONES Ramo 28</v>
      </c>
      <c r="F1111" s="37" t="s">
        <v>630</v>
      </c>
      <c r="G1111" s="37" t="s">
        <v>461</v>
      </c>
      <c r="H1111" s="38">
        <v>215001</v>
      </c>
      <c r="I1111" s="41" t="str">
        <f>IF(H1111&lt;=0,"",VLOOKUP(H1111,[9]COG!A:H,2,0))</f>
        <v>Material didáctico</v>
      </c>
      <c r="J1111" s="39">
        <f>431</f>
        <v>431</v>
      </c>
      <c r="K1111" s="39">
        <f>0+0+850</f>
        <v>850</v>
      </c>
      <c r="L1111" s="39">
        <f>836+0+0</f>
        <v>836</v>
      </c>
      <c r="M1111" s="39">
        <f>0</f>
        <v>0</v>
      </c>
      <c r="N1111" s="1">
        <f>Tabla8[[#This Row],[TRIMESTRE  I]]+Tabla8[[#This Row],[TRIMESTRE II]]+Tabla8[[#This Row],[TRIMESTRE III]]+Tabla8[[#This Row],[TRIMESTRE IV]]</f>
        <v>2117</v>
      </c>
      <c r="O1111" s="39" t="s">
        <v>6</v>
      </c>
      <c r="P1111" s="79">
        <v>45324</v>
      </c>
      <c r="Q1111" s="59" t="s">
        <v>625</v>
      </c>
    </row>
    <row r="1112" spans="2:17" ht="22.5" x14ac:dyDescent="0.2">
      <c r="B1112" s="34">
        <v>1300000</v>
      </c>
      <c r="C1112" s="97" t="s">
        <v>629</v>
      </c>
      <c r="D1112" s="36">
        <v>530</v>
      </c>
      <c r="E1112" s="42" t="str">
        <f>IF(D1112&lt;=0,"",VLOOKUP(D1112,[9]FF!A:D,2,0))</f>
        <v>PARTICIPACIONES Ramo 28</v>
      </c>
      <c r="F1112" s="37" t="s">
        <v>630</v>
      </c>
      <c r="G1112" s="37" t="s">
        <v>461</v>
      </c>
      <c r="H1112" s="38">
        <v>261001</v>
      </c>
      <c r="I1112" s="41" t="str">
        <f>IF(H1112&lt;=0,"",VLOOKUP(H1112,[9]COG!A:H,2,0))</f>
        <v>Combustibles</v>
      </c>
      <c r="J1112" s="39">
        <f>8460*3</f>
        <v>25380</v>
      </c>
      <c r="K1112" s="39">
        <f>8460*3</f>
        <v>25380</v>
      </c>
      <c r="L1112" s="39">
        <f>8460*3</f>
        <v>25380</v>
      </c>
      <c r="M1112" s="39">
        <f>8460*3</f>
        <v>25380</v>
      </c>
      <c r="N1112" s="1">
        <f>Tabla8[[#This Row],[TRIMESTRE  I]]+Tabla8[[#This Row],[TRIMESTRE II]]+Tabla8[[#This Row],[TRIMESTRE III]]+Tabla8[[#This Row],[TRIMESTRE IV]]</f>
        <v>101520</v>
      </c>
      <c r="O1112" s="39" t="s">
        <v>5</v>
      </c>
      <c r="P1112" s="79">
        <v>45293</v>
      </c>
      <c r="Q1112" s="59" t="s">
        <v>486</v>
      </c>
    </row>
    <row r="1113" spans="2:17" ht="22.5" x14ac:dyDescent="0.2">
      <c r="B1113" s="34">
        <v>1300000</v>
      </c>
      <c r="C1113" s="97" t="s">
        <v>629</v>
      </c>
      <c r="D1113" s="36">
        <v>530</v>
      </c>
      <c r="E1113" s="42" t="str">
        <f>IF(D1113&lt;=0,"",VLOOKUP(D1113,[9]FF!A:D,2,0))</f>
        <v>PARTICIPACIONES Ramo 28</v>
      </c>
      <c r="F1113" s="37" t="s">
        <v>630</v>
      </c>
      <c r="G1113" s="37" t="s">
        <v>461</v>
      </c>
      <c r="H1113" s="38">
        <v>271001</v>
      </c>
      <c r="I1113" s="41" t="str">
        <f>IF(H1113&lt;=0,"",VLOOKUP(H1113,[9]COG!A:H,2,0))</f>
        <v>Ropa, vestuario y equipo</v>
      </c>
      <c r="J1113" s="39">
        <f>0</f>
        <v>0</v>
      </c>
      <c r="K1113" s="39">
        <f>6281+0+0</f>
        <v>6281</v>
      </c>
      <c r="L1113" s="39">
        <f>0+0+0</f>
        <v>0</v>
      </c>
      <c r="M1113" s="39">
        <f>6281+0+0</f>
        <v>6281</v>
      </c>
      <c r="N1113" s="1">
        <f>Tabla8[[#This Row],[TRIMESTRE  I]]+Tabla8[[#This Row],[TRIMESTRE II]]+Tabla8[[#This Row],[TRIMESTRE III]]+Tabla8[[#This Row],[TRIMESTRE IV]]</f>
        <v>12562</v>
      </c>
      <c r="O1113" s="39" t="s">
        <v>6</v>
      </c>
      <c r="P1113" s="79">
        <v>45324</v>
      </c>
      <c r="Q1113" s="59" t="s">
        <v>625</v>
      </c>
    </row>
    <row r="1114" spans="2:17" ht="22.5" x14ac:dyDescent="0.2">
      <c r="B1114" s="34">
        <v>1300000</v>
      </c>
      <c r="C1114" s="97" t="s">
        <v>629</v>
      </c>
      <c r="D1114" s="36">
        <v>530</v>
      </c>
      <c r="E1114" s="42" t="str">
        <f>IF(D1114&lt;=0,"",VLOOKUP(D1114,[9]FF!A:D,2,0))</f>
        <v>PARTICIPACIONES Ramo 28</v>
      </c>
      <c r="F1114" s="37" t="s">
        <v>630</v>
      </c>
      <c r="G1114" s="37" t="s">
        <v>461</v>
      </c>
      <c r="H1114" s="38">
        <v>272002</v>
      </c>
      <c r="I1114" s="41" t="str">
        <f>IF(H1114&lt;=0,"",VLOOKUP(H1114,[9]COG!A:H,2,0))</f>
        <v>Prendas de seguridad y protección personal</v>
      </c>
      <c r="J1114" s="39">
        <f>0</f>
        <v>0</v>
      </c>
      <c r="K1114" s="39">
        <f>3200</f>
        <v>3200</v>
      </c>
      <c r="L1114" s="39">
        <v>0</v>
      </c>
      <c r="M1114" s="39">
        <v>0</v>
      </c>
      <c r="N1114" s="1">
        <f>Tabla8[[#This Row],[TRIMESTRE  I]]+Tabla8[[#This Row],[TRIMESTRE II]]+Tabla8[[#This Row],[TRIMESTRE III]]+Tabla8[[#This Row],[TRIMESTRE IV]]</f>
        <v>3200</v>
      </c>
      <c r="O1114" s="39" t="s">
        <v>6</v>
      </c>
      <c r="P1114" s="79">
        <v>45324</v>
      </c>
      <c r="Q1114" s="59" t="s">
        <v>625</v>
      </c>
    </row>
    <row r="1115" spans="2:17" ht="22.5" x14ac:dyDescent="0.2">
      <c r="B1115" s="34">
        <v>1300000</v>
      </c>
      <c r="C1115" s="97" t="s">
        <v>629</v>
      </c>
      <c r="D1115" s="36">
        <v>530</v>
      </c>
      <c r="E1115" s="42" t="str">
        <f>IF(D1115&lt;=0,"",VLOOKUP(D1115,[9]FF!A:D,2,0))</f>
        <v>PARTICIPACIONES Ramo 28</v>
      </c>
      <c r="F1115" s="37" t="s">
        <v>630</v>
      </c>
      <c r="G1115" s="37" t="s">
        <v>458</v>
      </c>
      <c r="H1115" s="38">
        <v>347001</v>
      </c>
      <c r="I1115" s="41" t="str">
        <f>IF(H1115&lt;=0,"",VLOOKUP(H1115,[9]COG!A:H,2,0))</f>
        <v>Fletes, maniobras y almacenaje</v>
      </c>
      <c r="J1115" s="39">
        <f>0+887+850</f>
        <v>1737</v>
      </c>
      <c r="K1115" s="39">
        <f>0+1039+0</f>
        <v>1039</v>
      </c>
      <c r="L1115" s="39">
        <f>0+1325+0</f>
        <v>1325</v>
      </c>
      <c r="M1115" s="39">
        <f>0+0+2</f>
        <v>2</v>
      </c>
      <c r="N1115" s="1">
        <f>Tabla8[[#This Row],[TRIMESTRE  I]]+Tabla8[[#This Row],[TRIMESTRE II]]+Tabla8[[#This Row],[TRIMESTRE III]]+Tabla8[[#This Row],[TRIMESTRE IV]]</f>
        <v>4103</v>
      </c>
      <c r="O1115" s="39" t="s">
        <v>6</v>
      </c>
      <c r="P1115" s="79">
        <v>45324</v>
      </c>
      <c r="Q1115" s="59" t="s">
        <v>625</v>
      </c>
    </row>
    <row r="1116" spans="2:17" ht="27" x14ac:dyDescent="0.2">
      <c r="B1116" s="34">
        <v>1300000</v>
      </c>
      <c r="C1116" s="97" t="s">
        <v>629</v>
      </c>
      <c r="D1116" s="36">
        <v>530</v>
      </c>
      <c r="E1116" s="42" t="str">
        <f>IF(D1116&lt;=0,"",VLOOKUP(D1116,[9]FF!A:D,2,0))</f>
        <v>PARTICIPACIONES Ramo 28</v>
      </c>
      <c r="F1116" s="37" t="s">
        <v>630</v>
      </c>
      <c r="G1116" s="37" t="s">
        <v>458</v>
      </c>
      <c r="H1116" s="38">
        <v>355001</v>
      </c>
      <c r="I1116" s="41" t="str">
        <f>IF(H1116&lt;=0,"",VLOOKUP(H1116,[9]COG!A:H,2,0))</f>
        <v>Mantto. y conservación de vehículos terrestres, aéreos, marítimos, lacustres y fluviales</v>
      </c>
      <c r="J1116" s="39">
        <f>1180+4614+5672</f>
        <v>11466</v>
      </c>
      <c r="K1116" s="39">
        <f>4852+3378+3039</f>
        <v>11269</v>
      </c>
      <c r="L1116" s="39">
        <f>4506+2889+2659</f>
        <v>10054</v>
      </c>
      <c r="M1116" s="39">
        <f>4210+3325+2004</f>
        <v>9539</v>
      </c>
      <c r="N1116" s="1">
        <f>Tabla8[[#This Row],[TRIMESTRE  I]]+Tabla8[[#This Row],[TRIMESTRE II]]+Tabla8[[#This Row],[TRIMESTRE III]]+Tabla8[[#This Row],[TRIMESTRE IV]]</f>
        <v>42328</v>
      </c>
      <c r="O1116" s="39" t="s">
        <v>6</v>
      </c>
      <c r="P1116" s="79">
        <v>45324</v>
      </c>
      <c r="Q1116" s="59" t="s">
        <v>625</v>
      </c>
    </row>
    <row r="1117" spans="2:17" ht="22.5" x14ac:dyDescent="0.2">
      <c r="B1117" s="34">
        <v>1300000</v>
      </c>
      <c r="C1117" s="97" t="s">
        <v>629</v>
      </c>
      <c r="D1117" s="36">
        <v>530</v>
      </c>
      <c r="E1117" s="42" t="str">
        <f>IF(D1117&lt;=0,"",VLOOKUP(D1117,[9]FF!A:D,2,0))</f>
        <v>PARTICIPACIONES Ramo 28</v>
      </c>
      <c r="F1117" s="37" t="s">
        <v>630</v>
      </c>
      <c r="G1117" s="37" t="s">
        <v>458</v>
      </c>
      <c r="H1117" s="38">
        <v>371001</v>
      </c>
      <c r="I1117" s="41" t="str">
        <f>IF(H1117&lt;=0,"",VLOOKUP(H1117,[9]COG!A:H,2,0))</f>
        <v>Pasajes aéreos</v>
      </c>
      <c r="J1117" s="39">
        <f>5370+5398+5331</f>
        <v>16099</v>
      </c>
      <c r="K1117" s="39">
        <f>5346+5370+5525</f>
        <v>16241</v>
      </c>
      <c r="L1117" s="39">
        <f>4405+3899+5188</f>
        <v>13492</v>
      </c>
      <c r="M1117" s="39">
        <f>5080+5525+5525</f>
        <v>16130</v>
      </c>
      <c r="N1117" s="1">
        <f>Tabla8[[#This Row],[TRIMESTRE  I]]+Tabla8[[#This Row],[TRIMESTRE II]]+Tabla8[[#This Row],[TRIMESTRE III]]+Tabla8[[#This Row],[TRIMESTRE IV]]</f>
        <v>61962</v>
      </c>
      <c r="O1117" s="39" t="s">
        <v>5</v>
      </c>
      <c r="P1117" s="79">
        <v>45324</v>
      </c>
      <c r="Q1117" s="59" t="s">
        <v>628</v>
      </c>
    </row>
    <row r="1118" spans="2:17" ht="22.5" x14ac:dyDescent="0.2">
      <c r="B1118" s="34">
        <v>1300000</v>
      </c>
      <c r="C1118" s="97" t="s">
        <v>629</v>
      </c>
      <c r="D1118" s="36">
        <v>530</v>
      </c>
      <c r="E1118" s="42" t="str">
        <f>IF(D1118&lt;=0,"",VLOOKUP(D1118,[9]FF!A:D,2,0))</f>
        <v>PARTICIPACIONES Ramo 28</v>
      </c>
      <c r="F1118" s="37" t="s">
        <v>630</v>
      </c>
      <c r="G1118" s="37" t="s">
        <v>458</v>
      </c>
      <c r="H1118" s="38">
        <v>375001</v>
      </c>
      <c r="I1118" s="41" t="str">
        <f>IF(H1118&lt;=0,"",VLOOKUP(H1118,[9]COG!A:H,2,0))</f>
        <v>Viáticos</v>
      </c>
      <c r="J1118" s="39">
        <f>5645+4359+5851</f>
        <v>15855</v>
      </c>
      <c r="K1118" s="39">
        <f>8500+4182+8500</f>
        <v>21182</v>
      </c>
      <c r="L1118" s="39">
        <f>4519+8500+8500</f>
        <v>21519</v>
      </c>
      <c r="M1118" s="39">
        <f>6365*3</f>
        <v>19095</v>
      </c>
      <c r="N1118" s="1">
        <f>Tabla8[[#This Row],[TRIMESTRE  I]]+Tabla8[[#This Row],[TRIMESTRE II]]+Tabla8[[#This Row],[TRIMESTRE III]]+Tabla8[[#This Row],[TRIMESTRE IV]]</f>
        <v>77651</v>
      </c>
      <c r="O1118" s="39"/>
      <c r="P1118" s="79"/>
      <c r="Q1118" s="59" t="s">
        <v>625</v>
      </c>
    </row>
    <row r="1119" spans="2:17" ht="22.5" x14ac:dyDescent="0.2">
      <c r="B1119" s="34">
        <v>1300000</v>
      </c>
      <c r="C1119" s="97" t="s">
        <v>629</v>
      </c>
      <c r="D1119" s="36">
        <v>530</v>
      </c>
      <c r="E1119" s="42" t="str">
        <f>IF(D1119&lt;=0,"",VLOOKUP(D1119,[9]FF!A:D,2,0))</f>
        <v>PARTICIPACIONES Ramo 28</v>
      </c>
      <c r="F1119" s="37" t="s">
        <v>630</v>
      </c>
      <c r="G1119" s="37" t="s">
        <v>458</v>
      </c>
      <c r="H1119" s="38">
        <v>379003</v>
      </c>
      <c r="I1119" s="41" t="str">
        <f>IF(H1119&lt;=0,"",VLOOKUP(H1119,[9]COG!A:H,2,0))</f>
        <v>Hospedaje de personas</v>
      </c>
      <c r="J1119" s="39">
        <f>0+978+944</f>
        <v>1922</v>
      </c>
      <c r="K1119" s="39">
        <f>0</f>
        <v>0</v>
      </c>
      <c r="L1119" s="39">
        <f>0</f>
        <v>0</v>
      </c>
      <c r="M1119" s="39">
        <f>0</f>
        <v>0</v>
      </c>
      <c r="N1119" s="1">
        <f>Tabla8[[#This Row],[TRIMESTRE  I]]+Tabla8[[#This Row],[TRIMESTRE II]]+Tabla8[[#This Row],[TRIMESTRE III]]+Tabla8[[#This Row],[TRIMESTRE IV]]</f>
        <v>1922</v>
      </c>
      <c r="O1119" s="39" t="s">
        <v>6</v>
      </c>
      <c r="P1119" s="79">
        <v>45324</v>
      </c>
      <c r="Q1119" s="59" t="s">
        <v>625</v>
      </c>
    </row>
    <row r="1120" spans="2:17" ht="22.5" x14ac:dyDescent="0.2">
      <c r="B1120" s="34">
        <v>1300000</v>
      </c>
      <c r="C1120" s="97" t="s">
        <v>629</v>
      </c>
      <c r="D1120" s="36">
        <v>530</v>
      </c>
      <c r="E1120" s="42" t="str">
        <f>IF(D1120&lt;=0,"",VLOOKUP(D1120,[9]FF!A:D,2,0))</f>
        <v>PARTICIPACIONES Ramo 28</v>
      </c>
      <c r="F1120" s="37" t="s">
        <v>630</v>
      </c>
      <c r="G1120" s="37" t="s">
        <v>458</v>
      </c>
      <c r="H1120" s="38">
        <v>382002</v>
      </c>
      <c r="I1120" s="41" t="str">
        <f>IF(H1120&lt;=0,"",VLOOKUP(H1120,[9]COG!A:H,2,0))</f>
        <v>Gastos de recepción, conmemorativos y de orden social</v>
      </c>
      <c r="J1120" s="39">
        <f>0+10950+1960</f>
        <v>12910</v>
      </c>
      <c r="K1120" s="39">
        <f>1403+1321+1000</f>
        <v>3724</v>
      </c>
      <c r="L1120" s="39">
        <f>1200+1776+1139</f>
        <v>4115</v>
      </c>
      <c r="M1120" s="39">
        <f>1171+1785+1193</f>
        <v>4149</v>
      </c>
      <c r="N1120" s="1">
        <f>Tabla8[[#This Row],[TRIMESTRE  I]]+Tabla8[[#This Row],[TRIMESTRE II]]+Tabla8[[#This Row],[TRIMESTRE III]]+Tabla8[[#This Row],[TRIMESTRE IV]]</f>
        <v>24898</v>
      </c>
      <c r="O1120" s="39" t="s">
        <v>6</v>
      </c>
      <c r="P1120" s="79">
        <v>45324</v>
      </c>
      <c r="Q1120" s="59" t="s">
        <v>625</v>
      </c>
    </row>
    <row r="1121" spans="2:17" ht="22.5" x14ac:dyDescent="0.2">
      <c r="B1121" s="34">
        <v>1300000</v>
      </c>
      <c r="C1121" s="97" t="s">
        <v>629</v>
      </c>
      <c r="D1121" s="36">
        <v>530</v>
      </c>
      <c r="E1121" s="42" t="str">
        <f>IF(D1121&lt;=0,"",VLOOKUP(D1121,[9]FF!A:D,2,0))</f>
        <v>PARTICIPACIONES Ramo 28</v>
      </c>
      <c r="F1121" s="37" t="s">
        <v>630</v>
      </c>
      <c r="G1121" s="37" t="s">
        <v>458</v>
      </c>
      <c r="H1121" s="38">
        <v>383001</v>
      </c>
      <c r="I1121" s="41" t="str">
        <f>IF(H1121&lt;=0,"",VLOOKUP(H1121,[9]COG!A:H,2,0))</f>
        <v>Congresos y convenciones</v>
      </c>
      <c r="J1121" s="39">
        <v>750</v>
      </c>
      <c r="K1121" s="39">
        <v>3030</v>
      </c>
      <c r="L1121" s="39">
        <v>0</v>
      </c>
      <c r="M1121" s="39">
        <v>0</v>
      </c>
      <c r="N1121" s="1">
        <f>Tabla8[[#This Row],[TRIMESTRE  I]]+Tabla8[[#This Row],[TRIMESTRE II]]+Tabla8[[#This Row],[TRIMESTRE III]]+Tabla8[[#This Row],[TRIMESTRE IV]]</f>
        <v>3780</v>
      </c>
      <c r="O1121" s="39" t="s">
        <v>6</v>
      </c>
      <c r="P1121" s="39"/>
      <c r="Q1121" s="59"/>
    </row>
    <row r="1122" spans="2:17" ht="22.5" x14ac:dyDescent="0.2">
      <c r="B1122" s="34">
        <v>130000</v>
      </c>
      <c r="C1122" s="35" t="s">
        <v>631</v>
      </c>
      <c r="D1122" s="36">
        <v>530</v>
      </c>
      <c r="E1122" s="42" t="str">
        <f>IF(D1122&lt;=0,"",VLOOKUP(D1122,[9]FF!A:D,2,0))</f>
        <v>PARTICIPACIONES Ramo 28</v>
      </c>
      <c r="F1122" s="37" t="s">
        <v>632</v>
      </c>
      <c r="G1122" s="37" t="s">
        <v>461</v>
      </c>
      <c r="H1122" s="38">
        <v>211001</v>
      </c>
      <c r="I1122" s="41" t="str">
        <f>IF(H1122&lt;=0,"",VLOOKUP(H1122,[9]COG!A:H,2,0))</f>
        <v>Material de oficina</v>
      </c>
      <c r="J1122" s="39">
        <f>1840+5370+5605+1226+1658+1539</f>
        <v>17238</v>
      </c>
      <c r="K1122" s="39">
        <f>8929+8929+8372+1370+1044+1358</f>
        <v>30002</v>
      </c>
      <c r="L1122" s="39">
        <f>3467+3293+3300+1361+1139+1144</f>
        <v>13704</v>
      </c>
      <c r="M1122" s="39">
        <f>3278+3148+3113+1139+1144+1144</f>
        <v>12966</v>
      </c>
      <c r="N1122" s="1">
        <f>Tabla8[[#This Row],[TRIMESTRE  I]]+Tabla8[[#This Row],[TRIMESTRE II]]+Tabla8[[#This Row],[TRIMESTRE III]]+Tabla8[[#This Row],[TRIMESTRE IV]]</f>
        <v>73910</v>
      </c>
      <c r="O1122" s="39" t="s">
        <v>5</v>
      </c>
      <c r="P1122" s="79" t="s">
        <v>624</v>
      </c>
      <c r="Q1122" s="59" t="s">
        <v>486</v>
      </c>
    </row>
    <row r="1123" spans="2:17" ht="22.5" x14ac:dyDescent="0.2">
      <c r="B1123" s="34">
        <v>130000</v>
      </c>
      <c r="C1123" s="35" t="s">
        <v>631</v>
      </c>
      <c r="D1123" s="36">
        <v>530</v>
      </c>
      <c r="E1123" s="42" t="str">
        <f>IF(D1123&lt;=0,"",VLOOKUP(D1123,[9]FF!A:D,2,0))</f>
        <v>PARTICIPACIONES Ramo 28</v>
      </c>
      <c r="F1123" s="37" t="s">
        <v>632</v>
      </c>
      <c r="G1123" s="37" t="s">
        <v>461</v>
      </c>
      <c r="H1123" s="38">
        <v>212001</v>
      </c>
      <c r="I1123" s="41" t="str">
        <f>IF(H1123&lt;=0,"",VLOOKUP(H1123,[9]COG!A:H,2,0))</f>
        <v>Material y útiles de impresión</v>
      </c>
      <c r="J1123" s="39">
        <f>315+3002+850</f>
        <v>4167</v>
      </c>
      <c r="K1123" s="39">
        <f>899+899+1335</f>
        <v>3133</v>
      </c>
      <c r="L1123" s="39">
        <v>4779</v>
      </c>
      <c r="M1123" s="39">
        <f>1225+1225+1229</f>
        <v>3679</v>
      </c>
      <c r="N1123" s="1">
        <f>Tabla8[[#This Row],[TRIMESTRE  I]]+Tabla8[[#This Row],[TRIMESTRE II]]+Tabla8[[#This Row],[TRIMESTRE III]]+Tabla8[[#This Row],[TRIMESTRE IV]]</f>
        <v>15758</v>
      </c>
      <c r="O1123" s="39" t="s">
        <v>6</v>
      </c>
      <c r="P1123" s="79">
        <v>45324</v>
      </c>
      <c r="Q1123" s="59" t="s">
        <v>625</v>
      </c>
    </row>
    <row r="1124" spans="2:17" ht="27" x14ac:dyDescent="0.2">
      <c r="B1124" s="34">
        <v>130000</v>
      </c>
      <c r="C1124" s="35" t="s">
        <v>631</v>
      </c>
      <c r="D1124" s="36">
        <v>530</v>
      </c>
      <c r="E1124" s="42" t="str">
        <f>IF(D1124&lt;=0,"",VLOOKUP(D1124,[9]FF!A:D,2,0))</f>
        <v>PARTICIPACIONES Ramo 28</v>
      </c>
      <c r="F1124" s="37" t="s">
        <v>632</v>
      </c>
      <c r="G1124" s="37" t="s">
        <v>461</v>
      </c>
      <c r="H1124" s="38">
        <v>214001</v>
      </c>
      <c r="I1124" s="41" t="str">
        <f>IF(H1124&lt;=0,"",VLOOKUP(H1124,[9]COG!A:H,2,0))</f>
        <v>Materiales, útiles y equipos menores de tecnologías de la información y comunicaciones</v>
      </c>
      <c r="J1124" s="39">
        <f>5000+13874+6756+1454+7173+8267</f>
        <v>42524</v>
      </c>
      <c r="K1124" s="39">
        <f>12061+13995+4065+9268+14651+10901</f>
        <v>64941</v>
      </c>
      <c r="L1124" s="39">
        <f>3032+3812+5582+3634+3634+3634</f>
        <v>23328</v>
      </c>
      <c r="M1124" s="39">
        <f>3882+5582+2962+2256+1454+1454</f>
        <v>17590</v>
      </c>
      <c r="N1124" s="1">
        <f>Tabla8[[#This Row],[TRIMESTRE  I]]+Tabla8[[#This Row],[TRIMESTRE II]]+Tabla8[[#This Row],[TRIMESTRE III]]+Tabla8[[#This Row],[TRIMESTRE IV]]</f>
        <v>148383</v>
      </c>
      <c r="O1124" s="39" t="s">
        <v>6</v>
      </c>
      <c r="P1124" s="79">
        <v>45324</v>
      </c>
      <c r="Q1124" s="59" t="s">
        <v>625</v>
      </c>
    </row>
    <row r="1125" spans="2:17" ht="22.5" x14ac:dyDescent="0.2">
      <c r="B1125" s="34">
        <v>130000</v>
      </c>
      <c r="C1125" s="35" t="s">
        <v>631</v>
      </c>
      <c r="D1125" s="36">
        <v>530</v>
      </c>
      <c r="E1125" s="42" t="str">
        <f>IF(D1125&lt;=0,"",VLOOKUP(D1125,[9]FF!A:D,2,0))</f>
        <v>PARTICIPACIONES Ramo 28</v>
      </c>
      <c r="F1125" s="37" t="s">
        <v>632</v>
      </c>
      <c r="G1125" s="37" t="s">
        <v>461</v>
      </c>
      <c r="H1125" s="38">
        <v>215001</v>
      </c>
      <c r="I1125" s="41" t="str">
        <f>IF(H1125&lt;=0,"",VLOOKUP(H1125,[9]COG!A:H,2,0))</f>
        <v>Material didáctico</v>
      </c>
      <c r="J1125" s="39">
        <f>935+1508+300+1801+1767</f>
        <v>6311</v>
      </c>
      <c r="K1125" s="39">
        <f>2481+2481+835+2674+2220+2674</f>
        <v>13365</v>
      </c>
      <c r="L1125" s="39">
        <f>2013+2013+2013+2214+761+761</f>
        <v>9775</v>
      </c>
      <c r="M1125" s="39">
        <f>2013+1013+2013+761+761+761</f>
        <v>7322</v>
      </c>
      <c r="N1125" s="1">
        <f>Tabla8[[#This Row],[TRIMESTRE  I]]+Tabla8[[#This Row],[TRIMESTRE II]]+Tabla8[[#This Row],[TRIMESTRE III]]+Tabla8[[#This Row],[TRIMESTRE IV]]</f>
        <v>36773</v>
      </c>
      <c r="O1125" s="39" t="s">
        <v>6</v>
      </c>
      <c r="P1125" s="79">
        <v>45324</v>
      </c>
      <c r="Q1125" s="59" t="s">
        <v>625</v>
      </c>
    </row>
    <row r="1126" spans="2:17" ht="22.5" x14ac:dyDescent="0.2">
      <c r="B1126" s="34">
        <v>130000</v>
      </c>
      <c r="C1126" s="35" t="s">
        <v>631</v>
      </c>
      <c r="D1126" s="36">
        <v>530</v>
      </c>
      <c r="E1126" s="42" t="str">
        <f>IF(D1126&lt;=0,"",VLOOKUP(D1126,[9]FF!A:D,2,0))</f>
        <v>PARTICIPACIONES Ramo 28</v>
      </c>
      <c r="F1126" s="37" t="s">
        <v>632</v>
      </c>
      <c r="G1126" s="37" t="s">
        <v>461</v>
      </c>
      <c r="H1126" s="38">
        <v>215003</v>
      </c>
      <c r="I1126" s="41" t="str">
        <f>IF(H1126&lt;=0,"",VLOOKUP(H1126,[9]COG!A:H,2,0))</f>
        <v>Material impreso e información digital</v>
      </c>
      <c r="J1126" s="39">
        <v>15530</v>
      </c>
      <c r="K1126" s="39">
        <f>0</f>
        <v>0</v>
      </c>
      <c r="L1126" s="39">
        <v>0</v>
      </c>
      <c r="M1126" s="39">
        <v>0</v>
      </c>
      <c r="N1126" s="1">
        <f>Tabla8[[#This Row],[TRIMESTRE  I]]+Tabla8[[#This Row],[TRIMESTRE II]]+Tabla8[[#This Row],[TRIMESTRE III]]+Tabla8[[#This Row],[TRIMESTRE IV]]</f>
        <v>15530</v>
      </c>
      <c r="O1126" s="39" t="s">
        <v>6</v>
      </c>
      <c r="P1126" s="79">
        <v>45324</v>
      </c>
      <c r="Q1126" s="59" t="s">
        <v>625</v>
      </c>
    </row>
    <row r="1127" spans="2:17" ht="22.5" x14ac:dyDescent="0.2">
      <c r="B1127" s="34">
        <v>130000</v>
      </c>
      <c r="C1127" s="35" t="s">
        <v>631</v>
      </c>
      <c r="D1127" s="36">
        <v>530</v>
      </c>
      <c r="E1127" s="42" t="str">
        <f>IF(D1127&lt;=0,"",VLOOKUP(D1127,[9]FF!A:D,2,0))</f>
        <v>PARTICIPACIONES Ramo 28</v>
      </c>
      <c r="F1127" s="37" t="s">
        <v>632</v>
      </c>
      <c r="G1127" s="37" t="s">
        <v>461</v>
      </c>
      <c r="H1127" s="38">
        <v>216001</v>
      </c>
      <c r="I1127" s="41" t="str">
        <f>IF(H1127&lt;=0,"",VLOOKUP(H1127,[9]COG!A:H,2,0))</f>
        <v>Material de limpieza</v>
      </c>
      <c r="J1127" s="39">
        <f>1562+3945+2236+283+2433+2432</f>
        <v>12891</v>
      </c>
      <c r="K1127" s="39">
        <f>6062+6062+4105+3483+2383+3483</f>
        <v>25578</v>
      </c>
      <c r="L1127" s="39">
        <f>2288+1288+1288+483+383+283</f>
        <v>6013</v>
      </c>
      <c r="M1127" s="39">
        <f>1288+2288+1288+383+283+383</f>
        <v>5913</v>
      </c>
      <c r="N1127" s="1">
        <f>Tabla8[[#This Row],[TRIMESTRE  I]]+Tabla8[[#This Row],[TRIMESTRE II]]+Tabla8[[#This Row],[TRIMESTRE III]]+Tabla8[[#This Row],[TRIMESTRE IV]]</f>
        <v>50395</v>
      </c>
      <c r="O1127" s="39" t="s">
        <v>5</v>
      </c>
      <c r="P1127" s="79">
        <v>45293</v>
      </c>
      <c r="Q1127" s="59" t="s">
        <v>486</v>
      </c>
    </row>
    <row r="1128" spans="2:17" ht="22.5" x14ac:dyDescent="0.2">
      <c r="B1128" s="34">
        <v>130000</v>
      </c>
      <c r="C1128" s="35" t="s">
        <v>631</v>
      </c>
      <c r="D1128" s="36">
        <v>530</v>
      </c>
      <c r="E1128" s="42" t="str">
        <f>IF(D1128&lt;=0,"",VLOOKUP(D1128,[9]FF!A:D,2,0))</f>
        <v>PARTICIPACIONES Ramo 28</v>
      </c>
      <c r="F1128" s="37" t="s">
        <v>632</v>
      </c>
      <c r="G1128" s="37" t="s">
        <v>461</v>
      </c>
      <c r="H1128" s="38">
        <v>221001</v>
      </c>
      <c r="I1128" s="41" t="str">
        <f>IF(H1128&lt;=0,"",VLOOKUP(H1128,[9]COG!A:H,2,0))</f>
        <v>Alimentación de personas</v>
      </c>
      <c r="J1128" s="39">
        <f>6222+727+727+1581</f>
        <v>9257</v>
      </c>
      <c r="K1128" s="39">
        <f>8957+1582+1582+1582</f>
        <v>13703</v>
      </c>
      <c r="L1128" s="39">
        <f>5427+932+932+932</f>
        <v>8223</v>
      </c>
      <c r="M1128" s="39">
        <f>6126+932+932+932</f>
        <v>8922</v>
      </c>
      <c r="N1128" s="1">
        <f>Tabla8[[#This Row],[TRIMESTRE  I]]+Tabla8[[#This Row],[TRIMESTRE II]]+Tabla8[[#This Row],[TRIMESTRE III]]+Tabla8[[#This Row],[TRIMESTRE IV]]</f>
        <v>40105</v>
      </c>
      <c r="O1128" s="39" t="s">
        <v>6</v>
      </c>
      <c r="P1128" s="79">
        <v>45324</v>
      </c>
      <c r="Q1128" s="59" t="s">
        <v>625</v>
      </c>
    </row>
    <row r="1129" spans="2:17" ht="22.5" x14ac:dyDescent="0.2">
      <c r="B1129" s="34">
        <v>130000</v>
      </c>
      <c r="C1129" s="35" t="s">
        <v>631</v>
      </c>
      <c r="D1129" s="36">
        <v>530</v>
      </c>
      <c r="E1129" s="42" t="str">
        <f>IF(D1129&lt;=0,"",VLOOKUP(D1129,[9]FF!A:D,2,0))</f>
        <v>PARTICIPACIONES Ramo 28</v>
      </c>
      <c r="F1129" s="37" t="s">
        <v>632</v>
      </c>
      <c r="G1129" s="37" t="s">
        <v>461</v>
      </c>
      <c r="H1129" s="38">
        <v>246001</v>
      </c>
      <c r="I1129" s="41" t="str">
        <f>IF(H1129&lt;=0,"",VLOOKUP(H1129,[9]COG!A:H,2,0))</f>
        <v>Material eléctrico</v>
      </c>
      <c r="J1129" s="39">
        <f>1923</f>
        <v>1923</v>
      </c>
      <c r="K1129" s="39">
        <f>2277+1982</f>
        <v>4259</v>
      </c>
      <c r="L1129" s="39">
        <f>579+1923</f>
        <v>2502</v>
      </c>
      <c r="M1129" s="39">
        <f>553+1932</f>
        <v>2485</v>
      </c>
      <c r="N1129" s="1">
        <f>Tabla8[[#This Row],[TRIMESTRE  I]]+Tabla8[[#This Row],[TRIMESTRE II]]+Tabla8[[#This Row],[TRIMESTRE III]]+Tabla8[[#This Row],[TRIMESTRE IV]]</f>
        <v>11169</v>
      </c>
      <c r="O1129" s="39" t="s">
        <v>6</v>
      </c>
      <c r="P1129" s="79">
        <v>45324</v>
      </c>
      <c r="Q1129" s="59" t="s">
        <v>625</v>
      </c>
    </row>
    <row r="1130" spans="2:17" ht="22.5" x14ac:dyDescent="0.2">
      <c r="B1130" s="34">
        <v>130000</v>
      </c>
      <c r="C1130" s="35" t="s">
        <v>631</v>
      </c>
      <c r="D1130" s="36">
        <v>530</v>
      </c>
      <c r="E1130" s="42" t="str">
        <f>IF(D1130&lt;=0,"",VLOOKUP(D1130,[9]FF!A:D,2,0))</f>
        <v>PARTICIPACIONES Ramo 28</v>
      </c>
      <c r="F1130" s="37" t="s">
        <v>632</v>
      </c>
      <c r="G1130" s="37" t="s">
        <v>461</v>
      </c>
      <c r="H1130" s="38">
        <v>253001</v>
      </c>
      <c r="I1130" s="41" t="str">
        <f>IF(H1130&lt;=0,"",VLOOKUP(H1130,[9]COG!A:H,2,0))</f>
        <v>Material y productos químicos, farmacéuticos</v>
      </c>
      <c r="J1130" s="39">
        <f>0</f>
        <v>0</v>
      </c>
      <c r="K1130" s="39">
        <f>47+121+0</f>
        <v>168</v>
      </c>
      <c r="L1130" s="39">
        <f>0</f>
        <v>0</v>
      </c>
      <c r="M1130" s="39">
        <v>0</v>
      </c>
      <c r="N1130" s="1">
        <f>Tabla8[[#This Row],[TRIMESTRE  I]]+Tabla8[[#This Row],[TRIMESTRE II]]+Tabla8[[#This Row],[TRIMESTRE III]]+Tabla8[[#This Row],[TRIMESTRE IV]]</f>
        <v>168</v>
      </c>
      <c r="O1130" s="39" t="s">
        <v>6</v>
      </c>
      <c r="P1130" s="79">
        <v>45324</v>
      </c>
      <c r="Q1130" s="59" t="s">
        <v>625</v>
      </c>
    </row>
    <row r="1131" spans="2:17" ht="22.5" x14ac:dyDescent="0.2">
      <c r="B1131" s="34">
        <v>130000</v>
      </c>
      <c r="C1131" s="35" t="s">
        <v>631</v>
      </c>
      <c r="D1131" s="36">
        <v>530</v>
      </c>
      <c r="E1131" s="42" t="str">
        <f>IF(D1131&lt;=0,"",VLOOKUP(D1131,[9]FF!A:D,2,0))</f>
        <v>PARTICIPACIONES Ramo 28</v>
      </c>
      <c r="F1131" s="37" t="s">
        <v>632</v>
      </c>
      <c r="G1131" s="37" t="s">
        <v>461</v>
      </c>
      <c r="H1131" s="38">
        <v>261001</v>
      </c>
      <c r="I1131" s="41" t="str">
        <f>IF(H1131&lt;=0,"",VLOOKUP(H1131,[9]COG!A:H,2,0))</f>
        <v>Combustibles</v>
      </c>
      <c r="J1131" s="39">
        <f>4410+8881+7920</f>
        <v>21211</v>
      </c>
      <c r="K1131" s="39">
        <f>9165+9165+9160+9824+9054</f>
        <v>46368</v>
      </c>
      <c r="L1131" s="39">
        <f>4410+3399+10896</f>
        <v>18705</v>
      </c>
      <c r="M1131" s="39">
        <f>4410+3399+8196</f>
        <v>16005</v>
      </c>
      <c r="N1131" s="1">
        <f>Tabla8[[#This Row],[TRIMESTRE  I]]+Tabla8[[#This Row],[TRIMESTRE II]]+Tabla8[[#This Row],[TRIMESTRE III]]+Tabla8[[#This Row],[TRIMESTRE IV]]</f>
        <v>102289</v>
      </c>
      <c r="O1131" s="39" t="s">
        <v>5</v>
      </c>
      <c r="P1131" s="79" t="s">
        <v>624</v>
      </c>
      <c r="Q1131" s="59" t="s">
        <v>486</v>
      </c>
    </row>
    <row r="1132" spans="2:17" ht="22.5" x14ac:dyDescent="0.2">
      <c r="B1132" s="34">
        <v>130000</v>
      </c>
      <c r="C1132" s="35" t="s">
        <v>631</v>
      </c>
      <c r="D1132" s="36">
        <v>530</v>
      </c>
      <c r="E1132" s="42" t="str">
        <f>IF(D1132&lt;=0,"",VLOOKUP(D1132,[9]FF!A:D,2,0))</f>
        <v>PARTICIPACIONES Ramo 28</v>
      </c>
      <c r="F1132" s="37" t="s">
        <v>632</v>
      </c>
      <c r="G1132" s="37" t="s">
        <v>461</v>
      </c>
      <c r="H1132" s="38">
        <v>261002</v>
      </c>
      <c r="I1132" s="41" t="str">
        <f>IF(H1132&lt;=0,"",VLOOKUP(H1132,[9]COG!A:H,2,0))</f>
        <v>Lubricantes y aditivos</v>
      </c>
      <c r="J1132" s="39">
        <f>0+0+1658+4608</f>
        <v>6266</v>
      </c>
      <c r="K1132" s="39">
        <f>5754+11791+3134</f>
        <v>20679</v>
      </c>
      <c r="L1132" s="39">
        <f>1659+2283+3126</f>
        <v>7068</v>
      </c>
      <c r="M1132" s="39">
        <f>1660+2283+3126</f>
        <v>7069</v>
      </c>
      <c r="N1132" s="1">
        <f>Tabla8[[#This Row],[TRIMESTRE  I]]+Tabla8[[#This Row],[TRIMESTRE II]]+Tabla8[[#This Row],[TRIMESTRE III]]+Tabla8[[#This Row],[TRIMESTRE IV]]</f>
        <v>41082</v>
      </c>
      <c r="O1132" s="39" t="s">
        <v>6</v>
      </c>
      <c r="P1132" s="79">
        <v>45324</v>
      </c>
      <c r="Q1132" s="59" t="s">
        <v>625</v>
      </c>
    </row>
    <row r="1133" spans="2:17" ht="22.5" x14ac:dyDescent="0.2">
      <c r="B1133" s="34">
        <v>130000</v>
      </c>
      <c r="C1133" s="35" t="s">
        <v>631</v>
      </c>
      <c r="D1133" s="36">
        <v>530</v>
      </c>
      <c r="E1133" s="42" t="str">
        <f>IF(D1133&lt;=0,"",VLOOKUP(D1133,[9]FF!A:D,2,0))</f>
        <v>PARTICIPACIONES Ramo 28</v>
      </c>
      <c r="F1133" s="37" t="s">
        <v>632</v>
      </c>
      <c r="G1133" s="37" t="s">
        <v>461</v>
      </c>
      <c r="H1133" s="38">
        <v>271001</v>
      </c>
      <c r="I1133" s="41" t="str">
        <f>IF(H1133&lt;=0,"",VLOOKUP(H1133,[9]COG!A:H,2,0))</f>
        <v>Ropa, vestuario y equipo</v>
      </c>
      <c r="J1133" s="39">
        <f>1701+1701+6500+2973+2973+3056</f>
        <v>18904</v>
      </c>
      <c r="K1133" s="39">
        <f>12050+6614+3056+3056+3056</f>
        <v>27832</v>
      </c>
      <c r="L1133" s="39">
        <f>3822+1000+1000+1449+1449+1449</f>
        <v>10169</v>
      </c>
      <c r="M1133" s="39">
        <f>3000+1449+1365+1365</f>
        <v>7179</v>
      </c>
      <c r="N1133" s="1">
        <f>Tabla8[[#This Row],[TRIMESTRE  I]]+Tabla8[[#This Row],[TRIMESTRE II]]+Tabla8[[#This Row],[TRIMESTRE III]]+Tabla8[[#This Row],[TRIMESTRE IV]]</f>
        <v>64084</v>
      </c>
      <c r="O1133" s="39" t="s">
        <v>6</v>
      </c>
      <c r="P1133" s="79">
        <v>45324</v>
      </c>
      <c r="Q1133" s="59" t="s">
        <v>625</v>
      </c>
    </row>
    <row r="1134" spans="2:17" ht="22.5" x14ac:dyDescent="0.2">
      <c r="B1134" s="34">
        <v>130000</v>
      </c>
      <c r="C1134" s="35" t="s">
        <v>631</v>
      </c>
      <c r="D1134" s="36">
        <v>530</v>
      </c>
      <c r="E1134" s="42" t="str">
        <f>IF(D1134&lt;=0,"",VLOOKUP(D1134,[9]FF!A:D,2,0))</f>
        <v>PARTICIPACIONES Ramo 28</v>
      </c>
      <c r="F1134" s="37" t="s">
        <v>632</v>
      </c>
      <c r="G1134" s="37" t="s">
        <v>461</v>
      </c>
      <c r="H1134" s="38">
        <v>273001</v>
      </c>
      <c r="I1134" s="41" t="str">
        <f>IF(H1134&lt;=0,"",VLOOKUP(H1134,[9]COG!A:H,2,0))</f>
        <v>Artículos deportivos</v>
      </c>
      <c r="J1134" s="39">
        <f>0+1964+897</f>
        <v>2861</v>
      </c>
      <c r="K1134" s="39">
        <f>897*3</f>
        <v>2691</v>
      </c>
      <c r="L1134" s="39">
        <f>897*3</f>
        <v>2691</v>
      </c>
      <c r="M1134" s="39">
        <f>897+897+170</f>
        <v>1964</v>
      </c>
      <c r="N1134" s="1">
        <f>Tabla8[[#This Row],[TRIMESTRE  I]]+Tabla8[[#This Row],[TRIMESTRE II]]+Tabla8[[#This Row],[TRIMESTRE III]]+Tabla8[[#This Row],[TRIMESTRE IV]]</f>
        <v>10207</v>
      </c>
      <c r="O1134" s="39" t="s">
        <v>6</v>
      </c>
      <c r="P1134" s="79">
        <v>45324</v>
      </c>
      <c r="Q1134" s="59" t="s">
        <v>625</v>
      </c>
    </row>
    <row r="1135" spans="2:17" ht="27" x14ac:dyDescent="0.2">
      <c r="B1135" s="34">
        <v>130000</v>
      </c>
      <c r="C1135" s="35" t="s">
        <v>631</v>
      </c>
      <c r="D1135" s="36">
        <v>530</v>
      </c>
      <c r="E1135" s="42" t="str">
        <f>IF(D1135&lt;=0,"",VLOOKUP(D1135,[9]FF!A:D,2,0))</f>
        <v>PARTICIPACIONES Ramo 28</v>
      </c>
      <c r="F1135" s="37" t="s">
        <v>632</v>
      </c>
      <c r="G1135" s="37" t="s">
        <v>461</v>
      </c>
      <c r="H1135" s="38">
        <v>292001</v>
      </c>
      <c r="I1135" s="41" t="str">
        <f>IF(H1135&lt;=0,"",VLOOKUP(H1135,[9]COG!A:H,2,0))</f>
        <v>Refacciones y accesorios menores de edificios (candados, cerraduras, chapas, llaves)</v>
      </c>
      <c r="J1135" s="39">
        <f>717+717</f>
        <v>1434</v>
      </c>
      <c r="K1135" s="39">
        <f>1662+1793</f>
        <v>3455</v>
      </c>
      <c r="L1135" s="39">
        <f>776+1076</f>
        <v>1852</v>
      </c>
      <c r="M1135" s="39">
        <f>111+111+116</f>
        <v>338</v>
      </c>
      <c r="N1135" s="1">
        <f>Tabla8[[#This Row],[TRIMESTRE  I]]+Tabla8[[#This Row],[TRIMESTRE II]]+Tabla8[[#This Row],[TRIMESTRE III]]+Tabla8[[#This Row],[TRIMESTRE IV]]</f>
        <v>7079</v>
      </c>
      <c r="O1135" s="39" t="s">
        <v>6</v>
      </c>
      <c r="P1135" s="79">
        <v>45324</v>
      </c>
      <c r="Q1135" s="59" t="s">
        <v>625</v>
      </c>
    </row>
    <row r="1136" spans="2:17" ht="27" x14ac:dyDescent="0.2">
      <c r="B1136" s="34">
        <v>130000</v>
      </c>
      <c r="C1136" s="35" t="s">
        <v>631</v>
      </c>
      <c r="D1136" s="36">
        <v>530</v>
      </c>
      <c r="E1136" s="42" t="str">
        <f>IF(D1136&lt;=0,"",VLOOKUP(D1136,[9]FF!A:D,2,0))</f>
        <v>PARTICIPACIONES Ramo 28</v>
      </c>
      <c r="F1136" s="37" t="s">
        <v>632</v>
      </c>
      <c r="G1136" s="37" t="s">
        <v>461</v>
      </c>
      <c r="H1136" s="38">
        <v>293001</v>
      </c>
      <c r="I1136" s="41" t="str">
        <f>IF(H1136&lt;=0,"",VLOOKUP(H1136,[9]COG!A:H,2,0))</f>
        <v>Refacciones y accesorios menores de mobiliario y equipo de administración, educacional y recreativo</v>
      </c>
      <c r="J1136" s="39">
        <f>0+1727+0</f>
        <v>1727</v>
      </c>
      <c r="K1136" s="39">
        <f>864*3</f>
        <v>2592</v>
      </c>
      <c r="L1136" s="39">
        <f>864*3</f>
        <v>2592</v>
      </c>
      <c r="M1136" s="39">
        <f>864+137+137</f>
        <v>1138</v>
      </c>
      <c r="N1136" s="1">
        <f>Tabla8[[#This Row],[TRIMESTRE  I]]+Tabla8[[#This Row],[TRIMESTRE II]]+Tabla8[[#This Row],[TRIMESTRE III]]+Tabla8[[#This Row],[TRIMESTRE IV]]</f>
        <v>8049</v>
      </c>
      <c r="O1136" s="39" t="s">
        <v>6</v>
      </c>
      <c r="P1136" s="79">
        <v>45324</v>
      </c>
      <c r="Q1136" s="59" t="s">
        <v>625</v>
      </c>
    </row>
    <row r="1137" spans="2:17" ht="22.5" x14ac:dyDescent="0.2">
      <c r="B1137" s="34">
        <v>130000</v>
      </c>
      <c r="C1137" s="35" t="s">
        <v>631</v>
      </c>
      <c r="D1137" s="36">
        <v>530</v>
      </c>
      <c r="E1137" s="42" t="str">
        <f>IF(D1137&lt;=0,"",VLOOKUP(D1137,[9]FF!A:D,2,0))</f>
        <v>PARTICIPACIONES Ramo 28</v>
      </c>
      <c r="F1137" s="37" t="s">
        <v>632</v>
      </c>
      <c r="G1137" s="37" t="s">
        <v>461</v>
      </c>
      <c r="H1137" s="38">
        <v>294001</v>
      </c>
      <c r="I1137" s="41" t="str">
        <f>IF(H1137&lt;=0,"",VLOOKUP(H1137,[9]COG!A:H,2,0))</f>
        <v>Dispositivos Internos y Externos de Equipo de Computo</v>
      </c>
      <c r="J1137" s="39">
        <f>0+156+883+727</f>
        <v>1766</v>
      </c>
      <c r="K1137" s="39">
        <f>1610+1610+883+2908</f>
        <v>7011</v>
      </c>
      <c r="L1137" s="39">
        <f>2649+727</f>
        <v>3376</v>
      </c>
      <c r="M1137" s="39">
        <f>156*3</f>
        <v>468</v>
      </c>
      <c r="N1137" s="1">
        <f>Tabla8[[#This Row],[TRIMESTRE  I]]+Tabla8[[#This Row],[TRIMESTRE II]]+Tabla8[[#This Row],[TRIMESTRE III]]+Tabla8[[#This Row],[TRIMESTRE IV]]</f>
        <v>12621</v>
      </c>
      <c r="O1137" s="39" t="s">
        <v>6</v>
      </c>
      <c r="P1137" s="79">
        <v>45324</v>
      </c>
      <c r="Q1137" s="59" t="s">
        <v>625</v>
      </c>
    </row>
    <row r="1138" spans="2:17" ht="22.5" x14ac:dyDescent="0.2">
      <c r="B1138" s="34">
        <v>130000</v>
      </c>
      <c r="C1138" s="35" t="s">
        <v>631</v>
      </c>
      <c r="D1138" s="36">
        <v>530</v>
      </c>
      <c r="E1138" s="42" t="str">
        <f>IF(D1138&lt;=0,"",VLOOKUP(D1138,[9]FF!A:D,2,0))</f>
        <v>PARTICIPACIONES Ramo 28</v>
      </c>
      <c r="F1138" s="37" t="s">
        <v>632</v>
      </c>
      <c r="G1138" s="37" t="s">
        <v>461</v>
      </c>
      <c r="H1138" s="38">
        <v>294002</v>
      </c>
      <c r="I1138" s="41" t="str">
        <f>IF(H1138&lt;=0,"",VLOOKUP(H1138,[9]COG!A:H,2,0))</f>
        <v>Refacciones y Accesorios Menores de Equipo de Computo</v>
      </c>
      <c r="J1138" s="39">
        <f>0+616+4250</f>
        <v>4866</v>
      </c>
      <c r="K1138" s="39">
        <f>6564+6634+2314</f>
        <v>15512</v>
      </c>
      <c r="L1138" s="39">
        <f>1018+947+1018</f>
        <v>2983</v>
      </c>
      <c r="M1138" s="39">
        <f>947*3</f>
        <v>2841</v>
      </c>
      <c r="N1138" s="1">
        <f>Tabla8[[#This Row],[TRIMESTRE  I]]+Tabla8[[#This Row],[TRIMESTRE II]]+Tabla8[[#This Row],[TRIMESTRE III]]+Tabla8[[#This Row],[TRIMESTRE IV]]</f>
        <v>26202</v>
      </c>
      <c r="O1138" s="39" t="s">
        <v>6</v>
      </c>
      <c r="P1138" s="79">
        <v>45324</v>
      </c>
      <c r="Q1138" s="59" t="s">
        <v>625</v>
      </c>
    </row>
    <row r="1139" spans="2:17" ht="22.5" x14ac:dyDescent="0.2">
      <c r="B1139" s="34">
        <v>130000</v>
      </c>
      <c r="C1139" s="35" t="s">
        <v>631</v>
      </c>
      <c r="D1139" s="36">
        <v>530</v>
      </c>
      <c r="E1139" s="42" t="str">
        <f>IF(D1139&lt;=0,"",VLOOKUP(D1139,[9]FF!A:D,2,0))</f>
        <v>PARTICIPACIONES Ramo 28</v>
      </c>
      <c r="F1139" s="37" t="s">
        <v>632</v>
      </c>
      <c r="G1139" s="37" t="s">
        <v>461</v>
      </c>
      <c r="H1139" s="38">
        <v>296001</v>
      </c>
      <c r="I1139" s="41" t="str">
        <f>IF(H1139&lt;=0,"",VLOOKUP(H1139,[9]COG!A:H,2,0))</f>
        <v>Herramientas, refacciones y accesorios</v>
      </c>
      <c r="J1139" s="39">
        <v>2819</v>
      </c>
      <c r="K1139" s="39">
        <v>8003</v>
      </c>
      <c r="L1139" s="39">
        <f>499+1487</f>
        <v>1986</v>
      </c>
      <c r="M1139" s="39">
        <f>464+2373</f>
        <v>2837</v>
      </c>
      <c r="N1139" s="1">
        <f>Tabla8[[#This Row],[TRIMESTRE  I]]+Tabla8[[#This Row],[TRIMESTRE II]]+Tabla8[[#This Row],[TRIMESTRE III]]+Tabla8[[#This Row],[TRIMESTRE IV]]</f>
        <v>15645</v>
      </c>
      <c r="O1139" s="39" t="s">
        <v>6</v>
      </c>
      <c r="P1139" s="79">
        <v>45324</v>
      </c>
      <c r="Q1139" s="59" t="s">
        <v>625</v>
      </c>
    </row>
    <row r="1140" spans="2:17" ht="22.5" x14ac:dyDescent="0.2">
      <c r="B1140" s="34">
        <v>130000</v>
      </c>
      <c r="C1140" s="35" t="s">
        <v>631</v>
      </c>
      <c r="D1140" s="36">
        <v>530</v>
      </c>
      <c r="E1140" s="42" t="str">
        <f>IF(D1140&lt;=0,"",VLOOKUP(D1140,[9]FF!A:D,2,0))</f>
        <v>PARTICIPACIONES Ramo 28</v>
      </c>
      <c r="F1140" s="37" t="s">
        <v>632</v>
      </c>
      <c r="G1140" s="37" t="s">
        <v>458</v>
      </c>
      <c r="H1140" s="38">
        <v>311001</v>
      </c>
      <c r="I1140" s="41" t="str">
        <f>IF(H1140&lt;=0,"",VLOOKUP(H1140,[9]COG!A:H,2,0))</f>
        <v>Servicio de energía eléctrica</v>
      </c>
      <c r="J1140" s="39">
        <f>2599+4241+0+4556</f>
        <v>11396</v>
      </c>
      <c r="K1140" s="39">
        <f>627+1054+0</f>
        <v>1681</v>
      </c>
      <c r="L1140" s="39">
        <f>3821+5386+6153</f>
        <v>15360</v>
      </c>
      <c r="M1140" s="39">
        <f>5386+6405+13367+2278</f>
        <v>27436</v>
      </c>
      <c r="N1140" s="1">
        <f>Tabla8[[#This Row],[TRIMESTRE  I]]+Tabla8[[#This Row],[TRIMESTRE II]]+Tabla8[[#This Row],[TRIMESTRE III]]+Tabla8[[#This Row],[TRIMESTRE IV]]</f>
        <v>55873</v>
      </c>
      <c r="O1140" s="39"/>
      <c r="P1140" s="39"/>
      <c r="Q1140" s="59"/>
    </row>
    <row r="1141" spans="2:17" ht="22.5" x14ac:dyDescent="0.2">
      <c r="B1141" s="34">
        <v>130000</v>
      </c>
      <c r="C1141" s="35" t="s">
        <v>631</v>
      </c>
      <c r="D1141" s="36">
        <v>530</v>
      </c>
      <c r="E1141" s="42" t="str">
        <f>IF(D1141&lt;=0,"",VLOOKUP(D1141,[9]FF!A:D,2,0))</f>
        <v>PARTICIPACIONES Ramo 28</v>
      </c>
      <c r="F1141" s="37" t="s">
        <v>632</v>
      </c>
      <c r="G1141" s="37" t="s">
        <v>458</v>
      </c>
      <c r="H1141" s="38">
        <v>313001</v>
      </c>
      <c r="I1141" s="41" t="str">
        <f>IF(H1141&lt;=0,"",VLOOKUP(H1141,[9]COG!A:H,2,0))</f>
        <v>Servicio de agua potable</v>
      </c>
      <c r="J1141" s="39">
        <v>11359</v>
      </c>
      <c r="K1141" s="39">
        <v>4600</v>
      </c>
      <c r="L1141" s="39">
        <v>6000</v>
      </c>
      <c r="M1141" s="39">
        <v>3000</v>
      </c>
      <c r="N1141" s="1">
        <f>Tabla8[[#This Row],[TRIMESTRE  I]]+Tabla8[[#This Row],[TRIMESTRE II]]+Tabla8[[#This Row],[TRIMESTRE III]]+Tabla8[[#This Row],[TRIMESTRE IV]]</f>
        <v>24959</v>
      </c>
      <c r="O1141" s="39"/>
      <c r="P1141" s="39"/>
      <c r="Q1141" s="59"/>
    </row>
    <row r="1142" spans="2:17" ht="22.5" x14ac:dyDescent="0.2">
      <c r="B1142" s="34">
        <v>130000</v>
      </c>
      <c r="C1142" s="35" t="s">
        <v>631</v>
      </c>
      <c r="D1142" s="36">
        <v>530</v>
      </c>
      <c r="E1142" s="42" t="str">
        <f>IF(D1142&lt;=0,"",VLOOKUP(D1142,[9]FF!A:D,2,0))</f>
        <v>PARTICIPACIONES Ramo 28</v>
      </c>
      <c r="F1142" s="37" t="s">
        <v>632</v>
      </c>
      <c r="G1142" s="37" t="s">
        <v>458</v>
      </c>
      <c r="H1142" s="38">
        <v>314001</v>
      </c>
      <c r="I1142" s="41" t="str">
        <f>IF(H1142&lt;=0,"",VLOOKUP(H1142,[9]COG!A:H,2,0))</f>
        <v>Servicio telefónico</v>
      </c>
      <c r="J1142" s="39">
        <v>30027</v>
      </c>
      <c r="K1142" s="39">
        <v>53104</v>
      </c>
      <c r="L1142" s="39">
        <v>42298</v>
      </c>
      <c r="M1142" s="39">
        <v>37398</v>
      </c>
      <c r="N1142" s="1">
        <f>Tabla8[[#This Row],[TRIMESTRE  I]]+Tabla8[[#This Row],[TRIMESTRE II]]+Tabla8[[#This Row],[TRIMESTRE III]]+Tabla8[[#This Row],[TRIMESTRE IV]]</f>
        <v>162827</v>
      </c>
      <c r="O1142" s="39"/>
      <c r="P1142" s="39"/>
      <c r="Q1142" s="59"/>
    </row>
    <row r="1143" spans="2:17" ht="22.5" x14ac:dyDescent="0.2">
      <c r="B1143" s="34">
        <v>130000</v>
      </c>
      <c r="C1143" s="35" t="s">
        <v>631</v>
      </c>
      <c r="D1143" s="36">
        <v>530</v>
      </c>
      <c r="E1143" s="42" t="str">
        <f>IF(D1143&lt;=0,"",VLOOKUP(D1143,[9]FF!A:D,2,0))</f>
        <v>PARTICIPACIONES Ramo 28</v>
      </c>
      <c r="F1143" s="37" t="s">
        <v>632</v>
      </c>
      <c r="G1143" s="37" t="s">
        <v>458</v>
      </c>
      <c r="H1143" s="38">
        <v>318001</v>
      </c>
      <c r="I1143" s="41" t="str">
        <f>IF(H1143&lt;=0,"",VLOOKUP(H1143,[9]COG!A:H,2,0))</f>
        <v>Servicio postal y telegráfico</v>
      </c>
      <c r="J1143" s="39">
        <v>129</v>
      </c>
      <c r="K1143" s="39">
        <f>0+129+849+127+124+206</f>
        <v>1435</v>
      </c>
      <c r="L1143" s="39">
        <f>96+0+124+118</f>
        <v>338</v>
      </c>
      <c r="M1143" s="39">
        <f>104+0+0</f>
        <v>104</v>
      </c>
      <c r="N1143" s="1">
        <f>Tabla8[[#This Row],[TRIMESTRE  I]]+Tabla8[[#This Row],[TRIMESTRE II]]+Tabla8[[#This Row],[TRIMESTRE III]]+Tabla8[[#This Row],[TRIMESTRE IV]]</f>
        <v>2006</v>
      </c>
      <c r="O1143" s="39" t="s">
        <v>6</v>
      </c>
      <c r="P1143" s="79">
        <v>45324</v>
      </c>
      <c r="Q1143" s="59" t="s">
        <v>625</v>
      </c>
    </row>
    <row r="1144" spans="2:17" ht="22.5" x14ac:dyDescent="0.2">
      <c r="B1144" s="34">
        <v>130000</v>
      </c>
      <c r="C1144" s="35" t="s">
        <v>631</v>
      </c>
      <c r="D1144" s="36">
        <v>530</v>
      </c>
      <c r="E1144" s="42" t="str">
        <f>IF(D1144&lt;=0,"",VLOOKUP(D1144,[9]FF!A:D,2,0))</f>
        <v>PARTICIPACIONES Ramo 28</v>
      </c>
      <c r="F1144" s="37" t="s">
        <v>632</v>
      </c>
      <c r="G1144" s="37" t="s">
        <v>458</v>
      </c>
      <c r="H1144" s="38">
        <v>323002</v>
      </c>
      <c r="I1144" s="41" t="str">
        <f>IF(H1144&lt;=0,"",VLOOKUP(H1144,[9]COG!A:H,2,0))</f>
        <v>Arrendamiento de maquinaria y equipo de Administración</v>
      </c>
      <c r="J1144" s="39">
        <f>4250*3</f>
        <v>12750</v>
      </c>
      <c r="K1144" s="39">
        <f>4250*3</f>
        <v>12750</v>
      </c>
      <c r="L1144" s="39">
        <f>4250*3</f>
        <v>12750</v>
      </c>
      <c r="M1144" s="39">
        <f>4250*3</f>
        <v>12750</v>
      </c>
      <c r="N1144" s="1">
        <f>Tabla8[[#This Row],[TRIMESTRE  I]]+Tabla8[[#This Row],[TRIMESTRE II]]+Tabla8[[#This Row],[TRIMESTRE III]]+Tabla8[[#This Row],[TRIMESTRE IV]]</f>
        <v>51000</v>
      </c>
      <c r="O1144" s="39" t="s">
        <v>626</v>
      </c>
      <c r="P1144" s="79">
        <v>45293</v>
      </c>
      <c r="Q1144" s="59" t="s">
        <v>486</v>
      </c>
    </row>
    <row r="1145" spans="2:17" ht="22.5" x14ac:dyDescent="0.2">
      <c r="B1145" s="34">
        <v>130000</v>
      </c>
      <c r="C1145" s="35" t="s">
        <v>631</v>
      </c>
      <c r="D1145" s="36">
        <v>530</v>
      </c>
      <c r="E1145" s="42" t="str">
        <f>IF(D1145&lt;=0,"",VLOOKUP(D1145,[9]FF!A:D,2,0))</f>
        <v>PARTICIPACIONES Ramo 28</v>
      </c>
      <c r="F1145" s="37" t="s">
        <v>632</v>
      </c>
      <c r="G1145" s="37" t="s">
        <v>458</v>
      </c>
      <c r="H1145" s="38">
        <v>334001</v>
      </c>
      <c r="I1145" s="41" t="str">
        <f>IF(H1145&lt;=0,"",VLOOKUP(H1145,[9]COG!A:H,2,0))</f>
        <v>Cuotas e inscripciones</v>
      </c>
      <c r="J1145" s="39">
        <f>1784+81973+82254+1074+2096+1146</f>
        <v>170327</v>
      </c>
      <c r="K1145" s="39">
        <f>1780+1841+1731+1790+1782+1741+3232</f>
        <v>13897</v>
      </c>
      <c r="L1145" s="39">
        <f>442+544+568+309+413+396+1022</f>
        <v>3694</v>
      </c>
      <c r="M1145" s="39">
        <f>450+563+570+361+452+417+1095</f>
        <v>3908</v>
      </c>
      <c r="N1145" s="1">
        <f>Tabla8[[#This Row],[TRIMESTRE  I]]+Tabla8[[#This Row],[TRIMESTRE II]]+Tabla8[[#This Row],[TRIMESTRE III]]+Tabla8[[#This Row],[TRIMESTRE IV]]</f>
        <v>191826</v>
      </c>
      <c r="O1145" s="39" t="s">
        <v>6</v>
      </c>
      <c r="P1145" s="79">
        <v>45324</v>
      </c>
      <c r="Q1145" s="59" t="s">
        <v>625</v>
      </c>
    </row>
    <row r="1146" spans="2:17" ht="22.5" x14ac:dyDescent="0.2">
      <c r="B1146" s="34">
        <v>130000</v>
      </c>
      <c r="C1146" s="35" t="s">
        <v>631</v>
      </c>
      <c r="D1146" s="36">
        <v>530</v>
      </c>
      <c r="E1146" s="42" t="str">
        <f>IF(D1146&lt;=0,"",VLOOKUP(D1146,[9]FF!A:D,2,0))</f>
        <v>PARTICIPACIONES Ramo 28</v>
      </c>
      <c r="F1146" s="37" t="s">
        <v>632</v>
      </c>
      <c r="G1146" s="37" t="s">
        <v>458</v>
      </c>
      <c r="H1146" s="38">
        <v>334002</v>
      </c>
      <c r="I1146" s="41" t="str">
        <f>IF(H1146&lt;=0,"",VLOOKUP(H1146,[9]COG!A:H,2,0))</f>
        <v>Servicios de Capacitación</v>
      </c>
      <c r="J1146" s="39">
        <f>9763</f>
        <v>9763</v>
      </c>
      <c r="K1146" s="39">
        <v>0</v>
      </c>
      <c r="L1146" s="39">
        <v>0</v>
      </c>
      <c r="M1146" s="39">
        <v>0</v>
      </c>
      <c r="N1146" s="1">
        <f>Tabla8[[#This Row],[TRIMESTRE  I]]+Tabla8[[#This Row],[TRIMESTRE II]]+Tabla8[[#This Row],[TRIMESTRE III]]+Tabla8[[#This Row],[TRIMESTRE IV]]</f>
        <v>9763</v>
      </c>
      <c r="O1146" s="39" t="s">
        <v>6</v>
      </c>
      <c r="P1146" s="79">
        <v>45324</v>
      </c>
      <c r="Q1146" s="59" t="s">
        <v>625</v>
      </c>
    </row>
    <row r="1147" spans="2:17" ht="22.5" x14ac:dyDescent="0.2">
      <c r="B1147" s="34">
        <v>130000</v>
      </c>
      <c r="C1147" s="35" t="s">
        <v>631</v>
      </c>
      <c r="D1147" s="36">
        <v>530</v>
      </c>
      <c r="E1147" s="42" t="str">
        <f>IF(D1147&lt;=0,"",VLOOKUP(D1147,[9]FF!A:D,2,0))</f>
        <v>PARTICIPACIONES Ramo 28</v>
      </c>
      <c r="F1147" s="37" t="s">
        <v>632</v>
      </c>
      <c r="G1147" s="37" t="s">
        <v>458</v>
      </c>
      <c r="H1147" s="38">
        <v>336001</v>
      </c>
      <c r="I1147" s="41" t="str">
        <f>IF(H1147&lt;=0,"",VLOOKUP(H1147,[9]COG!A:H,2,0))</f>
        <v>Servicio de Fotocopiado, Enmicado y Encuadernación de Documentos.</v>
      </c>
      <c r="J1147" s="39">
        <f>0+150+150</f>
        <v>300</v>
      </c>
      <c r="K1147" s="39">
        <f>100+150+150</f>
        <v>400</v>
      </c>
      <c r="L1147" s="39">
        <f>100+150+100</f>
        <v>350</v>
      </c>
      <c r="M1147" s="39">
        <f>120+100+50</f>
        <v>270</v>
      </c>
      <c r="N1147" s="1">
        <f>Tabla8[[#This Row],[TRIMESTRE  I]]+Tabla8[[#This Row],[TRIMESTRE II]]+Tabla8[[#This Row],[TRIMESTRE III]]+Tabla8[[#This Row],[TRIMESTRE IV]]</f>
        <v>1320</v>
      </c>
      <c r="O1147" s="39" t="s">
        <v>6</v>
      </c>
      <c r="P1147" s="79">
        <v>45324</v>
      </c>
      <c r="Q1147" s="59" t="s">
        <v>625</v>
      </c>
    </row>
    <row r="1148" spans="2:17" ht="22.5" x14ac:dyDescent="0.2">
      <c r="B1148" s="34">
        <v>130000</v>
      </c>
      <c r="C1148" s="35" t="s">
        <v>631</v>
      </c>
      <c r="D1148" s="36">
        <v>530</v>
      </c>
      <c r="E1148" s="42" t="str">
        <f>IF(D1148&lt;=0,"",VLOOKUP(D1148,[9]FF!A:D,2,0))</f>
        <v>PARTICIPACIONES Ramo 28</v>
      </c>
      <c r="F1148" s="37" t="s">
        <v>632</v>
      </c>
      <c r="G1148" s="37" t="s">
        <v>458</v>
      </c>
      <c r="H1148" s="38">
        <v>347001</v>
      </c>
      <c r="I1148" s="41" t="str">
        <f>IF(H1148&lt;=0,"",VLOOKUP(H1148,[9]COG!A:H,2,0))</f>
        <v>Fletes, maniobras y almacenaje</v>
      </c>
      <c r="J1148" s="39">
        <v>1445</v>
      </c>
      <c r="K1148" s="39">
        <f>711+722+692+1219+946</f>
        <v>4290</v>
      </c>
      <c r="L1148" s="39">
        <f>99+121+127+394+838</f>
        <v>1579</v>
      </c>
      <c r="M1148" s="39">
        <f>105+132+137+418+881</f>
        <v>1673</v>
      </c>
      <c r="N1148" s="1">
        <f>Tabla8[[#This Row],[TRIMESTRE  I]]+Tabla8[[#This Row],[TRIMESTRE II]]+Tabla8[[#This Row],[TRIMESTRE III]]+Tabla8[[#This Row],[TRIMESTRE IV]]</f>
        <v>8987</v>
      </c>
      <c r="O1148" s="39" t="s">
        <v>6</v>
      </c>
      <c r="P1148" s="79">
        <v>45324</v>
      </c>
      <c r="Q1148" s="59" t="s">
        <v>625</v>
      </c>
    </row>
    <row r="1149" spans="2:17" ht="22.5" x14ac:dyDescent="0.2">
      <c r="B1149" s="34">
        <v>130000</v>
      </c>
      <c r="C1149" s="35" t="s">
        <v>631</v>
      </c>
      <c r="D1149" s="36">
        <v>530</v>
      </c>
      <c r="E1149" s="42" t="str">
        <f>IF(D1149&lt;=0,"",VLOOKUP(D1149,[9]FF!A:D,2,0))</f>
        <v>PARTICIPACIONES Ramo 28</v>
      </c>
      <c r="F1149" s="37" t="s">
        <v>632</v>
      </c>
      <c r="G1149" s="37" t="s">
        <v>458</v>
      </c>
      <c r="H1149" s="38">
        <v>351001</v>
      </c>
      <c r="I1149" s="41" t="str">
        <f>IF(H1149&lt;=0,"",VLOOKUP(H1149,[9]COG!A:H,2,0))</f>
        <v>Mantenimiento de inmuebles</v>
      </c>
      <c r="J1149" s="39">
        <v>7849</v>
      </c>
      <c r="K1149" s="39">
        <v>25110</v>
      </c>
      <c r="L1149" s="39">
        <f>1734+2135+2226+4824</f>
        <v>10919</v>
      </c>
      <c r="M1149" s="39">
        <f>1864+2306+850+5151</f>
        <v>10171</v>
      </c>
      <c r="N1149" s="1">
        <f>Tabla8[[#This Row],[TRIMESTRE  I]]+Tabla8[[#This Row],[TRIMESTRE II]]+Tabla8[[#This Row],[TRIMESTRE III]]+Tabla8[[#This Row],[TRIMESTRE IV]]</f>
        <v>54049</v>
      </c>
      <c r="O1149" s="39" t="s">
        <v>6</v>
      </c>
      <c r="P1149" s="79">
        <v>45324</v>
      </c>
      <c r="Q1149" s="59" t="s">
        <v>625</v>
      </c>
    </row>
    <row r="1150" spans="2:17" ht="22.5" x14ac:dyDescent="0.2">
      <c r="B1150" s="34">
        <v>130000</v>
      </c>
      <c r="C1150" s="35" t="s">
        <v>631</v>
      </c>
      <c r="D1150" s="36">
        <v>530</v>
      </c>
      <c r="E1150" s="42" t="str">
        <f>IF(D1150&lt;=0,"",VLOOKUP(D1150,[9]FF!A:D,2,0))</f>
        <v>PARTICIPACIONES Ramo 28</v>
      </c>
      <c r="F1150" s="37" t="s">
        <v>632</v>
      </c>
      <c r="G1150" s="37" t="s">
        <v>458</v>
      </c>
      <c r="H1150" s="38">
        <v>351002</v>
      </c>
      <c r="I1150" s="41" t="str">
        <f>IF(H1150&lt;=0,"",VLOOKUP(H1150,[9]COG!A:H,2,0))</f>
        <v>Fumigación de Inmuebles</v>
      </c>
      <c r="J1150" s="39">
        <v>7650</v>
      </c>
      <c r="K1150" s="39">
        <v>7650</v>
      </c>
      <c r="L1150" s="39">
        <v>7650</v>
      </c>
      <c r="M1150" s="39">
        <v>7650</v>
      </c>
      <c r="N1150" s="1">
        <f>Tabla8[[#This Row],[TRIMESTRE  I]]+Tabla8[[#This Row],[TRIMESTRE II]]+Tabla8[[#This Row],[TRIMESTRE III]]+Tabla8[[#This Row],[TRIMESTRE IV]]</f>
        <v>30600</v>
      </c>
      <c r="O1150" s="39" t="s">
        <v>6</v>
      </c>
      <c r="P1150" s="79">
        <v>45324</v>
      </c>
      <c r="Q1150" s="59" t="s">
        <v>625</v>
      </c>
    </row>
    <row r="1151" spans="2:17" ht="22.5" x14ac:dyDescent="0.2">
      <c r="B1151" s="34">
        <v>130000</v>
      </c>
      <c r="C1151" s="35" t="s">
        <v>631</v>
      </c>
      <c r="D1151" s="36">
        <v>530</v>
      </c>
      <c r="E1151" s="42" t="str">
        <f>IF(D1151&lt;=0,"",VLOOKUP(D1151,[9]FF!A:D,2,0))</f>
        <v>PARTICIPACIONES Ramo 28</v>
      </c>
      <c r="F1151" s="37" t="s">
        <v>632</v>
      </c>
      <c r="G1151" s="37" t="s">
        <v>458</v>
      </c>
      <c r="H1151" s="38">
        <v>352001</v>
      </c>
      <c r="I1151" s="41" t="str">
        <f>IF(H1151&lt;=0,"",VLOOKUP(H1151,[9]COG!A:H,2,0))</f>
        <v>Mantenimiento de mobiliario y equipo</v>
      </c>
      <c r="J1151" s="39">
        <f>0</f>
        <v>0</v>
      </c>
      <c r="K1151" s="39">
        <f>1057+1374+728+2217+1077</f>
        <v>6453</v>
      </c>
      <c r="L1151" s="39">
        <f>291+358+373+899+955</f>
        <v>2876</v>
      </c>
      <c r="M1151" s="39">
        <v>3081</v>
      </c>
      <c r="N1151" s="1">
        <f>Tabla8[[#This Row],[TRIMESTRE  I]]+Tabla8[[#This Row],[TRIMESTRE II]]+Tabla8[[#This Row],[TRIMESTRE III]]+Tabla8[[#This Row],[TRIMESTRE IV]]</f>
        <v>12410</v>
      </c>
      <c r="O1151" s="39" t="s">
        <v>6</v>
      </c>
      <c r="P1151" s="79">
        <v>45324</v>
      </c>
      <c r="Q1151" s="59" t="s">
        <v>625</v>
      </c>
    </row>
    <row r="1152" spans="2:17" ht="22.5" x14ac:dyDescent="0.2">
      <c r="B1152" s="34">
        <v>130000</v>
      </c>
      <c r="C1152" s="35" t="s">
        <v>631</v>
      </c>
      <c r="D1152" s="36">
        <v>530</v>
      </c>
      <c r="E1152" s="42" t="str">
        <f>IF(D1152&lt;=0,"",VLOOKUP(D1152,[9]FF!A:D,2,0))</f>
        <v>PARTICIPACIONES Ramo 28</v>
      </c>
      <c r="F1152" s="37" t="s">
        <v>632</v>
      </c>
      <c r="G1152" s="37" t="s">
        <v>458</v>
      </c>
      <c r="H1152" s="38">
        <v>352002</v>
      </c>
      <c r="I1152" s="41" t="str">
        <f>IF(H1152&lt;=0,"",VLOOKUP(H1152,[9]COG!A:H,2,0))</f>
        <v>Gastos de instalación</v>
      </c>
      <c r="J1152" s="39">
        <f>146+146+82+110</f>
        <v>484</v>
      </c>
      <c r="K1152" s="39">
        <f>286+105+78+152+248</f>
        <v>869</v>
      </c>
      <c r="L1152" s="39">
        <f>108+139+105+111+100</f>
        <v>563</v>
      </c>
      <c r="M1152" s="39">
        <f>0+92+116+109+88</f>
        <v>405</v>
      </c>
      <c r="N1152" s="1">
        <f>Tabla8[[#This Row],[TRIMESTRE  I]]+Tabla8[[#This Row],[TRIMESTRE II]]+Tabla8[[#This Row],[TRIMESTRE III]]+Tabla8[[#This Row],[TRIMESTRE IV]]</f>
        <v>2321</v>
      </c>
      <c r="O1152" s="39" t="s">
        <v>6</v>
      </c>
      <c r="P1152" s="79">
        <v>45324</v>
      </c>
      <c r="Q1152" s="59" t="s">
        <v>625</v>
      </c>
    </row>
    <row r="1153" spans="2:17" ht="27" x14ac:dyDescent="0.2">
      <c r="B1153" s="34">
        <v>130000</v>
      </c>
      <c r="C1153" s="35" t="s">
        <v>631</v>
      </c>
      <c r="D1153" s="36">
        <v>530</v>
      </c>
      <c r="E1153" s="42" t="str">
        <f>IF(D1153&lt;=0,"",VLOOKUP(D1153,[9]FF!A:D,2,0))</f>
        <v>PARTICIPACIONES Ramo 28</v>
      </c>
      <c r="F1153" s="37" t="s">
        <v>632</v>
      </c>
      <c r="G1153" s="37" t="s">
        <v>458</v>
      </c>
      <c r="H1153" s="38">
        <v>355001</v>
      </c>
      <c r="I1153" s="41" t="str">
        <f>IF(H1153&lt;=0,"",VLOOKUP(H1153,[9]COG!A:H,2,0))</f>
        <v>Mantto. y conservación de vehículos terrestres, aéreos, marítimos, lacustres y fluviales</v>
      </c>
      <c r="J1153" s="39">
        <v>22612</v>
      </c>
      <c r="K1153" s="39">
        <f>8457+5234+3564+8689+8756+7010+9226</f>
        <v>50936</v>
      </c>
      <c r="L1153" s="39">
        <f>607+711+779+4369+2966+3013+524</f>
        <v>12969</v>
      </c>
      <c r="M1153" s="39">
        <f>621+816+785+2829+4006+4955+1530</f>
        <v>15542</v>
      </c>
      <c r="N1153" s="1">
        <f>Tabla8[[#This Row],[TRIMESTRE  I]]+Tabla8[[#This Row],[TRIMESTRE II]]+Tabla8[[#This Row],[TRIMESTRE III]]+Tabla8[[#This Row],[TRIMESTRE IV]]</f>
        <v>102059</v>
      </c>
      <c r="O1153" s="39" t="s">
        <v>6</v>
      </c>
      <c r="P1153" s="79">
        <v>45324</v>
      </c>
      <c r="Q1153" s="59" t="s">
        <v>625</v>
      </c>
    </row>
    <row r="1154" spans="2:17" ht="22.5" x14ac:dyDescent="0.2">
      <c r="B1154" s="34">
        <v>130000</v>
      </c>
      <c r="C1154" s="35" t="s">
        <v>631</v>
      </c>
      <c r="D1154" s="36">
        <v>530</v>
      </c>
      <c r="E1154" s="42" t="str">
        <f>IF(D1154&lt;=0,"",VLOOKUP(D1154,[9]FF!A:D,2,0))</f>
        <v>PARTICIPACIONES Ramo 28</v>
      </c>
      <c r="F1154" s="37" t="s">
        <v>632</v>
      </c>
      <c r="G1154" s="37" t="s">
        <v>458</v>
      </c>
      <c r="H1154" s="38">
        <v>358001</v>
      </c>
      <c r="I1154" s="41" t="str">
        <f>IF(H1154&lt;=0,"",VLOOKUP(H1154,[9]COG!A:H,2,0))</f>
        <v>Servicios de higiene y limpieza</v>
      </c>
      <c r="J1154" s="39">
        <f>25500+172+301</f>
        <v>25973</v>
      </c>
      <c r="K1154" s="39">
        <v>26469</v>
      </c>
      <c r="L1154" s="39">
        <v>26318</v>
      </c>
      <c r="M1154" s="39">
        <f>25500+138+172+138</f>
        <v>25948</v>
      </c>
      <c r="N1154" s="1">
        <f>Tabla8[[#This Row],[TRIMESTRE  I]]+Tabla8[[#This Row],[TRIMESTRE II]]+Tabla8[[#This Row],[TRIMESTRE III]]+Tabla8[[#This Row],[TRIMESTRE IV]]</f>
        <v>104708</v>
      </c>
      <c r="O1154" s="39" t="s">
        <v>7</v>
      </c>
      <c r="P1154" s="79">
        <v>45324</v>
      </c>
      <c r="Q1154" s="64" t="s">
        <v>501</v>
      </c>
    </row>
    <row r="1155" spans="2:17" ht="22.5" x14ac:dyDescent="0.2">
      <c r="B1155" s="56">
        <v>130000</v>
      </c>
      <c r="C1155" s="57" t="s">
        <v>631</v>
      </c>
      <c r="D1155" s="38">
        <v>530</v>
      </c>
      <c r="E1155" s="58" t="str">
        <f>IF(D1155&lt;=0,"",VLOOKUP(D1155,[9]FF!A:D,2,0))</f>
        <v>PARTICIPACIONES Ramo 28</v>
      </c>
      <c r="F1155" s="59" t="s">
        <v>632</v>
      </c>
      <c r="G1155" s="59" t="s">
        <v>458</v>
      </c>
      <c r="H1155" s="38">
        <v>361002</v>
      </c>
      <c r="I1155" s="41" t="str">
        <f>IF(H1155&lt;=0,"",VLOOKUP(H1155,[9]COG!A:H,2,0))</f>
        <v>Impresiones y publicaciones oficiales</v>
      </c>
      <c r="J1155" s="39">
        <f>0+0+1128+207</f>
        <v>1335</v>
      </c>
      <c r="K1155" s="39">
        <f>1035+1052+0+861+859+837+1645</f>
        <v>6289</v>
      </c>
      <c r="L1155" s="39">
        <f>320+395+412+168+222+231+590</f>
        <v>2338</v>
      </c>
      <c r="M1155" s="39">
        <v>2418</v>
      </c>
      <c r="N1155" s="1">
        <f>Tabla8[[#This Row],[TRIMESTRE  I]]+Tabla8[[#This Row],[TRIMESTRE II]]+Tabla8[[#This Row],[TRIMESTRE III]]+Tabla8[[#This Row],[TRIMESTRE IV]]</f>
        <v>12380</v>
      </c>
      <c r="O1155" s="39" t="s">
        <v>6</v>
      </c>
      <c r="P1155" s="79">
        <v>45324</v>
      </c>
      <c r="Q1155" s="59" t="s">
        <v>625</v>
      </c>
    </row>
    <row r="1156" spans="2:17" ht="22.5" x14ac:dyDescent="0.2">
      <c r="B1156" s="34">
        <v>130000</v>
      </c>
      <c r="C1156" s="35" t="s">
        <v>631</v>
      </c>
      <c r="D1156" s="36">
        <v>530</v>
      </c>
      <c r="E1156" s="42" t="str">
        <f>IF(D1156&lt;=0,"",VLOOKUP(D1156,[9]FF!A:D,2,0))</f>
        <v>PARTICIPACIONES Ramo 28</v>
      </c>
      <c r="F1156" s="37" t="s">
        <v>632</v>
      </c>
      <c r="G1156" s="37" t="s">
        <v>458</v>
      </c>
      <c r="H1156" s="38">
        <v>371001</v>
      </c>
      <c r="I1156" s="41" t="str">
        <f>IF(H1156&lt;=0,"",VLOOKUP(H1156,[9]COG!A:H,2,0))</f>
        <v>Pasajes aéreos</v>
      </c>
      <c r="J1156" s="39">
        <f>7762+14253+18236+2377+5250+4394+2036</f>
        <v>54308</v>
      </c>
      <c r="K1156" s="39">
        <f>0+10753+8243+4355+2697+2582+6031</f>
        <v>34661</v>
      </c>
      <c r="L1156" s="39">
        <f>2670+2894+2945+988+1216+1268+1752</f>
        <v>13733</v>
      </c>
      <c r="M1156" s="39">
        <f>2742+3004+3010+1062+1328+1333+1779</f>
        <v>14258</v>
      </c>
      <c r="N1156" s="1">
        <f>Tabla8[[#This Row],[TRIMESTRE  I]]+Tabla8[[#This Row],[TRIMESTRE II]]+Tabla8[[#This Row],[TRIMESTRE III]]+Tabla8[[#This Row],[TRIMESTRE IV]]</f>
        <v>116960</v>
      </c>
      <c r="O1156" s="39" t="s">
        <v>5</v>
      </c>
      <c r="P1156" s="79">
        <v>45324</v>
      </c>
      <c r="Q1156" s="59" t="s">
        <v>628</v>
      </c>
    </row>
    <row r="1157" spans="2:17" ht="22.5" x14ac:dyDescent="0.2">
      <c r="B1157" s="34">
        <v>130000</v>
      </c>
      <c r="C1157" s="35" t="s">
        <v>631</v>
      </c>
      <c r="D1157" s="36">
        <v>530</v>
      </c>
      <c r="E1157" s="42" t="str">
        <f>IF(D1157&lt;=0,"",VLOOKUP(D1157,[9]FF!A:D,2,0))</f>
        <v>PARTICIPACIONES Ramo 28</v>
      </c>
      <c r="F1157" s="37" t="s">
        <v>632</v>
      </c>
      <c r="G1157" s="37" t="s">
        <v>458</v>
      </c>
      <c r="H1157" s="38">
        <v>375001</v>
      </c>
      <c r="I1157" s="41" t="str">
        <f>IF(H1157&lt;=0,"",VLOOKUP(H1157,[9]COG!A:H,2,0))</f>
        <v>Viáticos</v>
      </c>
      <c r="J1157" s="39">
        <f>6692+6692+9710+7582+7582+7574+2763</f>
        <v>48595</v>
      </c>
      <c r="K1157" s="39">
        <f>18981+19940+15764+7500+9278+7364+15735</f>
        <v>94562</v>
      </c>
      <c r="L1157" s="39">
        <v>32530</v>
      </c>
      <c r="M1157" s="39">
        <v>28646</v>
      </c>
      <c r="N1157" s="1">
        <f>Tabla8[[#This Row],[TRIMESTRE  I]]+Tabla8[[#This Row],[TRIMESTRE II]]+Tabla8[[#This Row],[TRIMESTRE III]]+Tabla8[[#This Row],[TRIMESTRE IV]]</f>
        <v>204333</v>
      </c>
      <c r="O1157" s="39"/>
      <c r="P1157" s="79"/>
      <c r="Q1157" s="59" t="s">
        <v>625</v>
      </c>
    </row>
    <row r="1158" spans="2:17" ht="22.5" x14ac:dyDescent="0.2">
      <c r="B1158" s="34">
        <v>130000</v>
      </c>
      <c r="C1158" s="35" t="s">
        <v>631</v>
      </c>
      <c r="D1158" s="36">
        <v>530</v>
      </c>
      <c r="E1158" s="42" t="str">
        <f>IF(D1158&lt;=0,"",VLOOKUP(D1158,[9]FF!A:D,2,0))</f>
        <v>PARTICIPACIONES Ramo 28</v>
      </c>
      <c r="F1158" s="37" t="s">
        <v>632</v>
      </c>
      <c r="G1158" s="37" t="s">
        <v>458</v>
      </c>
      <c r="H1158" s="38">
        <v>383001</v>
      </c>
      <c r="I1158" s="41" t="str">
        <f>IF(H1158&lt;=0,"",VLOOKUP(H1158,[9]COG!A:H,2,0))</f>
        <v>Congresos y convenciones</v>
      </c>
      <c r="J1158" s="39">
        <f>0+0+2975</f>
        <v>2975</v>
      </c>
      <c r="K1158" s="39">
        <f>5079+5138+4977</f>
        <v>15194</v>
      </c>
      <c r="L1158" s="39">
        <f>1576+1109+1157</f>
        <v>3842</v>
      </c>
      <c r="M1158" s="39">
        <f>968+1211+1222</f>
        <v>3401</v>
      </c>
      <c r="N1158" s="1">
        <f>Tabla8[[#This Row],[TRIMESTRE  I]]+Tabla8[[#This Row],[TRIMESTRE II]]+Tabla8[[#This Row],[TRIMESTRE III]]+Tabla8[[#This Row],[TRIMESTRE IV]]</f>
        <v>25412</v>
      </c>
      <c r="O1158" s="39" t="s">
        <v>6</v>
      </c>
      <c r="P1158" s="79">
        <v>45324</v>
      </c>
      <c r="Q1158" s="59" t="s">
        <v>625</v>
      </c>
    </row>
    <row r="1159" spans="2:17" ht="22.5" x14ac:dyDescent="0.2">
      <c r="B1159" s="34">
        <v>130000</v>
      </c>
      <c r="C1159" s="35" t="s">
        <v>631</v>
      </c>
      <c r="D1159" s="36">
        <v>530</v>
      </c>
      <c r="E1159" s="42" t="str">
        <f>IF(D1159&lt;=0,"",VLOOKUP(D1159,[9]FF!A:D,2,0))</f>
        <v>PARTICIPACIONES Ramo 28</v>
      </c>
      <c r="F1159" s="37" t="s">
        <v>632</v>
      </c>
      <c r="G1159" s="37" t="s">
        <v>458</v>
      </c>
      <c r="H1159" s="38">
        <v>392001</v>
      </c>
      <c r="I1159" s="41" t="str">
        <f>IF(H1159&lt;=0,"",VLOOKUP(H1159,[9]COG!A:H,2,0))</f>
        <v>Impuestos y derechos</v>
      </c>
      <c r="J1159" s="39">
        <f>0+0+2196</f>
        <v>2196</v>
      </c>
      <c r="K1159" s="39">
        <v>0</v>
      </c>
      <c r="L1159" s="39">
        <v>0</v>
      </c>
      <c r="M1159" s="39">
        <v>0</v>
      </c>
      <c r="N1159" s="1">
        <f>Tabla8[[#This Row],[TRIMESTRE  I]]+Tabla8[[#This Row],[TRIMESTRE II]]+Tabla8[[#This Row],[TRIMESTRE III]]+Tabla8[[#This Row],[TRIMESTRE IV]]</f>
        <v>2196</v>
      </c>
      <c r="O1159" s="39" t="s">
        <v>6</v>
      </c>
      <c r="P1159" s="79"/>
      <c r="Q1159" s="59" t="s">
        <v>625</v>
      </c>
    </row>
    <row r="1160" spans="2:17" ht="22.5" x14ac:dyDescent="0.2">
      <c r="B1160" s="34">
        <v>13000</v>
      </c>
      <c r="C1160" s="34" t="s">
        <v>633</v>
      </c>
      <c r="D1160" s="36">
        <v>530</v>
      </c>
      <c r="E1160" s="42" t="str">
        <f>IF(D1160&lt;=0,"",VLOOKUP(D1160,[9]FF!A:D,2,0))</f>
        <v>PARTICIPACIONES Ramo 28</v>
      </c>
      <c r="F1160" s="37" t="s">
        <v>634</v>
      </c>
      <c r="G1160" s="37" t="s">
        <v>461</v>
      </c>
      <c r="H1160" s="38">
        <v>211001</v>
      </c>
      <c r="I1160" s="41" t="str">
        <f>IF(H1160&lt;=0,"",VLOOKUP(H1160,[9]COG!A:H,2,0))</f>
        <v>Material de oficina</v>
      </c>
      <c r="J1160" s="39">
        <f>850*3</f>
        <v>2550</v>
      </c>
      <c r="K1160" s="39">
        <f>850*3</f>
        <v>2550</v>
      </c>
      <c r="L1160" s="39">
        <f>850*3</f>
        <v>2550</v>
      </c>
      <c r="M1160" s="39">
        <f>850*3</f>
        <v>2550</v>
      </c>
      <c r="N1160" s="1">
        <f>Tabla8[[#This Row],[TRIMESTRE  I]]+Tabla8[[#This Row],[TRIMESTRE II]]+Tabla8[[#This Row],[TRIMESTRE III]]+Tabla8[[#This Row],[TRIMESTRE IV]]</f>
        <v>10200</v>
      </c>
      <c r="O1160" s="39" t="s">
        <v>5</v>
      </c>
      <c r="P1160" s="79" t="s">
        <v>624</v>
      </c>
      <c r="Q1160" s="59" t="s">
        <v>486</v>
      </c>
    </row>
    <row r="1161" spans="2:17" ht="22.5" x14ac:dyDescent="0.2">
      <c r="B1161" s="34">
        <v>13000</v>
      </c>
      <c r="C1161" s="34" t="s">
        <v>633</v>
      </c>
      <c r="D1161" s="36">
        <v>530</v>
      </c>
      <c r="E1161" s="42" t="str">
        <f>IF(D1161&lt;=0,"",VLOOKUP(D1161,[9]FF!A:D,2,0))</f>
        <v>PARTICIPACIONES Ramo 28</v>
      </c>
      <c r="F1161" s="37" t="s">
        <v>634</v>
      </c>
      <c r="G1161" s="37" t="s">
        <v>461</v>
      </c>
      <c r="H1161" s="38">
        <v>212001</v>
      </c>
      <c r="I1161" s="41" t="str">
        <f>IF(H1161&lt;=0,"",VLOOKUP(H1161,[9]COG!A:H,2,0))</f>
        <v>Material y útiles de impresión</v>
      </c>
      <c r="J1161" s="39">
        <f>1275*3</f>
        <v>3825</v>
      </c>
      <c r="K1161" s="39">
        <f>1275*3</f>
        <v>3825</v>
      </c>
      <c r="L1161" s="39">
        <f>1275*3</f>
        <v>3825</v>
      </c>
      <c r="M1161" s="39">
        <f>1275*3</f>
        <v>3825</v>
      </c>
      <c r="N1161" s="1">
        <f>Tabla8[[#This Row],[TRIMESTRE  I]]+Tabla8[[#This Row],[TRIMESTRE II]]+Tabla8[[#This Row],[TRIMESTRE III]]+Tabla8[[#This Row],[TRIMESTRE IV]]</f>
        <v>15300</v>
      </c>
      <c r="O1161" s="39" t="s">
        <v>6</v>
      </c>
      <c r="P1161" s="79">
        <v>45324</v>
      </c>
      <c r="Q1161" s="59" t="s">
        <v>625</v>
      </c>
    </row>
    <row r="1162" spans="2:17" ht="22.5" x14ac:dyDescent="0.2">
      <c r="B1162" s="34">
        <v>13000</v>
      </c>
      <c r="C1162" s="34" t="s">
        <v>633</v>
      </c>
      <c r="D1162" s="36">
        <v>530</v>
      </c>
      <c r="E1162" s="42" t="str">
        <f>IF(D1162&lt;=0,"",VLOOKUP(D1162,[9]FF!A:D,2,0))</f>
        <v>PARTICIPACIONES Ramo 28</v>
      </c>
      <c r="F1162" s="37" t="s">
        <v>634</v>
      </c>
      <c r="G1162" s="37" t="s">
        <v>461</v>
      </c>
      <c r="H1162" s="38">
        <v>261001</v>
      </c>
      <c r="I1162" s="41" t="str">
        <f>IF(H1162&lt;=0,"",VLOOKUP(H1162,[9]COG!A:H,2,0))</f>
        <v>Combustibles</v>
      </c>
      <c r="J1162" s="39">
        <f>4500*3</f>
        <v>13500</v>
      </c>
      <c r="K1162" s="39">
        <f>4500*3</f>
        <v>13500</v>
      </c>
      <c r="L1162" s="39">
        <f>4500*3</f>
        <v>13500</v>
      </c>
      <c r="M1162" s="39">
        <f>4500*3</f>
        <v>13500</v>
      </c>
      <c r="N1162" s="1">
        <f>Tabla8[[#This Row],[TRIMESTRE  I]]+Tabla8[[#This Row],[TRIMESTRE II]]+Tabla8[[#This Row],[TRIMESTRE III]]+Tabla8[[#This Row],[TRIMESTRE IV]]</f>
        <v>54000</v>
      </c>
      <c r="O1162" s="39" t="s">
        <v>5</v>
      </c>
      <c r="P1162" s="79" t="s">
        <v>624</v>
      </c>
      <c r="Q1162" s="59" t="s">
        <v>486</v>
      </c>
    </row>
    <row r="1163" spans="2:17" ht="22.5" x14ac:dyDescent="0.2">
      <c r="B1163" s="34">
        <v>13000</v>
      </c>
      <c r="C1163" s="34" t="s">
        <v>633</v>
      </c>
      <c r="D1163" s="36">
        <v>530</v>
      </c>
      <c r="E1163" s="42" t="str">
        <f>IF(D1163&lt;=0,"",VLOOKUP(D1163,[9]FF!A:D,2,0))</f>
        <v>PARTICIPACIONES Ramo 28</v>
      </c>
      <c r="F1163" s="37" t="s">
        <v>634</v>
      </c>
      <c r="G1163" s="37" t="s">
        <v>461</v>
      </c>
      <c r="H1163" s="38">
        <v>271001</v>
      </c>
      <c r="I1163" s="41" t="str">
        <f>IF(H1163&lt;=0,"",VLOOKUP(H1163,[9]COG!A:H,2,0))</f>
        <v>Ropa, vestuario y equipo</v>
      </c>
      <c r="J1163" s="39">
        <f>1000+0+0</f>
        <v>1000</v>
      </c>
      <c r="K1163" s="39">
        <f>0+0+1000</f>
        <v>1000</v>
      </c>
      <c r="L1163" s="39">
        <v>0</v>
      </c>
      <c r="M1163" s="39">
        <v>0</v>
      </c>
      <c r="N1163" s="1">
        <f>Tabla8[[#This Row],[TRIMESTRE  I]]+Tabla8[[#This Row],[TRIMESTRE II]]+Tabla8[[#This Row],[TRIMESTRE III]]+Tabla8[[#This Row],[TRIMESTRE IV]]</f>
        <v>2000</v>
      </c>
      <c r="O1163" s="39" t="s">
        <v>6</v>
      </c>
      <c r="P1163" s="79"/>
      <c r="Q1163" s="59" t="s">
        <v>625</v>
      </c>
    </row>
    <row r="1164" spans="2:17" ht="22.5" x14ac:dyDescent="0.2">
      <c r="B1164" s="34">
        <v>13000</v>
      </c>
      <c r="C1164" s="34" t="s">
        <v>633</v>
      </c>
      <c r="D1164" s="36">
        <v>530</v>
      </c>
      <c r="E1164" s="42" t="str">
        <f>IF(D1164&lt;=0,"",VLOOKUP(D1164,[9]FF!A:D,2,0))</f>
        <v>PARTICIPACIONES Ramo 28</v>
      </c>
      <c r="F1164" s="37" t="s">
        <v>634</v>
      </c>
      <c r="G1164" s="37" t="s">
        <v>458</v>
      </c>
      <c r="H1164" s="38">
        <v>325001</v>
      </c>
      <c r="I1164" s="41" t="str">
        <f>IF(H1164&lt;=0,"",VLOOKUP(H1164,[9]COG!A:H,2,0))</f>
        <v>Arrendamiento de equipo de transporte</v>
      </c>
      <c r="J1164" s="39">
        <f>20800*3</f>
        <v>62400</v>
      </c>
      <c r="K1164" s="39">
        <f>20800*3</f>
        <v>62400</v>
      </c>
      <c r="L1164" s="39">
        <f>20800*3</f>
        <v>62400</v>
      </c>
      <c r="M1164" s="39">
        <f>20800*3</f>
        <v>62400</v>
      </c>
      <c r="N1164" s="1">
        <f>Tabla8[[#This Row],[TRIMESTRE  I]]+Tabla8[[#This Row],[TRIMESTRE II]]+Tabla8[[#This Row],[TRIMESTRE III]]+Tabla8[[#This Row],[TRIMESTRE IV]]</f>
        <v>249600</v>
      </c>
      <c r="O1164" s="39" t="s">
        <v>6</v>
      </c>
      <c r="P1164" s="79"/>
      <c r="Q1164" s="59"/>
    </row>
    <row r="1165" spans="2:17" ht="22.5" x14ac:dyDescent="0.2">
      <c r="B1165" s="34">
        <v>13000</v>
      </c>
      <c r="C1165" s="34" t="s">
        <v>633</v>
      </c>
      <c r="D1165" s="36">
        <v>530</v>
      </c>
      <c r="E1165" s="42" t="str">
        <f>IF(D1165&lt;=0,"",VLOOKUP(D1165,[9]FF!A:D,2,0))</f>
        <v>PARTICIPACIONES Ramo 28</v>
      </c>
      <c r="F1165" s="37" t="s">
        <v>634</v>
      </c>
      <c r="G1165" s="37" t="s">
        <v>458</v>
      </c>
      <c r="H1165" s="38">
        <v>336001</v>
      </c>
      <c r="I1165" s="41" t="str">
        <f>IF(H1165&lt;=0,"",VLOOKUP(H1165,[9]COG!A:H,2,0))</f>
        <v>Servicio de Fotocopiado, Enmicado y Encuadernación de Documentos.</v>
      </c>
      <c r="J1165" s="39">
        <f>145000+152521+143454</f>
        <v>440975</v>
      </c>
      <c r="K1165" s="39">
        <f>138000+236250</f>
        <v>374250</v>
      </c>
      <c r="L1165" s="39">
        <v>0</v>
      </c>
      <c r="M1165" s="39">
        <v>0</v>
      </c>
      <c r="N1165" s="1">
        <f>Tabla8[[#This Row],[TRIMESTRE  I]]+Tabla8[[#This Row],[TRIMESTRE II]]+Tabla8[[#This Row],[TRIMESTRE III]]+Tabla8[[#This Row],[TRIMESTRE IV]]</f>
        <v>815225</v>
      </c>
      <c r="O1165" s="39" t="s">
        <v>627</v>
      </c>
      <c r="P1165" s="79">
        <v>45324</v>
      </c>
      <c r="Q1165" s="59" t="s">
        <v>625</v>
      </c>
    </row>
    <row r="1166" spans="2:17" ht="22.5" x14ac:dyDescent="0.2">
      <c r="B1166" s="34">
        <v>13000</v>
      </c>
      <c r="C1166" s="34" t="s">
        <v>633</v>
      </c>
      <c r="D1166" s="36">
        <v>530</v>
      </c>
      <c r="E1166" s="42" t="str">
        <f>IF(D1166&lt;=0,"",VLOOKUP(D1166,[9]FF!A:D,2,0))</f>
        <v>PARTICIPACIONES Ramo 28</v>
      </c>
      <c r="F1166" s="37" t="s">
        <v>634</v>
      </c>
      <c r="G1166" s="37" t="s">
        <v>458</v>
      </c>
      <c r="H1166" s="38">
        <v>375001</v>
      </c>
      <c r="I1166" s="41" t="str">
        <f>IF(H1166&lt;=0,"",VLOOKUP(H1166,[9]COG!A:H,2,0))</f>
        <v>Viáticos</v>
      </c>
      <c r="J1166" s="39">
        <f>4250*3</f>
        <v>12750</v>
      </c>
      <c r="K1166" s="39">
        <f>4250*3</f>
        <v>12750</v>
      </c>
      <c r="L1166" s="39">
        <f>4250*3</f>
        <v>12750</v>
      </c>
      <c r="M1166" s="39">
        <f>4250*3</f>
        <v>12750</v>
      </c>
      <c r="N1166" s="1">
        <f>Tabla8[[#This Row],[TRIMESTRE  I]]+Tabla8[[#This Row],[TRIMESTRE II]]+Tabla8[[#This Row],[TRIMESTRE III]]+Tabla8[[#This Row],[TRIMESTRE IV]]</f>
        <v>51000</v>
      </c>
      <c r="O1166" s="39"/>
      <c r="P1166" s="79"/>
      <c r="Q1166" s="59" t="s">
        <v>625</v>
      </c>
    </row>
    <row r="1167" spans="2:17" x14ac:dyDescent="0.2">
      <c r="B1167" s="34"/>
      <c r="C1167" s="34"/>
      <c r="D1167" s="36"/>
      <c r="E1167" s="42"/>
      <c r="F1167" s="37"/>
      <c r="G1167" s="37"/>
      <c r="H1167" s="38"/>
      <c r="I1167" s="41"/>
      <c r="J1167" s="39"/>
      <c r="K1167" s="39"/>
      <c r="L1167" s="39"/>
      <c r="M1167" s="39"/>
      <c r="N1167" s="1">
        <f>SUBTOTAL(109,Tabla8[[PRESUPUESTO ANUAL AUTORIZADO ]])</f>
        <v>11723885</v>
      </c>
      <c r="O1167" s="39"/>
      <c r="P1167" s="79"/>
      <c r="Q1167" s="59"/>
    </row>
    <row r="1168" spans="2:17" x14ac:dyDescent="0.2">
      <c r="B1168" s="34"/>
      <c r="C1168" s="34"/>
      <c r="D1168" s="36"/>
      <c r="E1168" s="42"/>
      <c r="F1168" s="37"/>
      <c r="G1168" s="37"/>
      <c r="H1168" s="38"/>
      <c r="I1168" s="41"/>
      <c r="J1168" s="39"/>
      <c r="K1168" s="39"/>
      <c r="L1168" s="39"/>
      <c r="M1168" s="39"/>
      <c r="N1168" s="1"/>
      <c r="O1168" s="39"/>
      <c r="P1168" s="79"/>
      <c r="Q1168" s="59"/>
    </row>
    <row r="1169" spans="2:17" ht="23.25" x14ac:dyDescent="0.2">
      <c r="B1169" s="111" t="s">
        <v>4</v>
      </c>
      <c r="C1169" s="111"/>
      <c r="D1169" s="111"/>
      <c r="E1169" s="111"/>
      <c r="F1169" s="111"/>
      <c r="G1169" s="111"/>
      <c r="H1169" s="111"/>
      <c r="I1169" s="111"/>
      <c r="J1169" s="111"/>
      <c r="K1169" s="111"/>
      <c r="L1169" s="111"/>
      <c r="M1169" s="111"/>
      <c r="N1169" s="111"/>
      <c r="O1169" s="111"/>
      <c r="P1169" s="111"/>
      <c r="Q1169" s="111"/>
    </row>
    <row r="1170" spans="2:17" ht="23.25" x14ac:dyDescent="0.2">
      <c r="B1170" s="109" t="s">
        <v>746</v>
      </c>
      <c r="C1170" s="109"/>
      <c r="D1170" s="109"/>
      <c r="E1170" s="109"/>
      <c r="F1170" s="109"/>
      <c r="G1170" s="109"/>
      <c r="H1170" s="109"/>
      <c r="I1170" s="109"/>
      <c r="J1170" s="109"/>
      <c r="K1170" s="109"/>
      <c r="L1170" s="109"/>
      <c r="M1170" s="109"/>
      <c r="N1170" s="109"/>
      <c r="O1170" s="109"/>
      <c r="P1170" s="109"/>
      <c r="Q1170" s="109"/>
    </row>
    <row r="1171" spans="2:17" s="90" customFormat="1" ht="23.25" x14ac:dyDescent="0.2">
      <c r="B1171" s="110" t="s">
        <v>466</v>
      </c>
      <c r="C1171" s="110"/>
      <c r="D1171" s="110"/>
      <c r="E1171" s="110"/>
      <c r="F1171" s="110"/>
      <c r="G1171" s="110"/>
      <c r="H1171" s="110"/>
      <c r="I1171" s="110"/>
      <c r="J1171" s="110"/>
      <c r="K1171" s="110"/>
      <c r="L1171" s="110"/>
      <c r="M1171" s="110"/>
      <c r="N1171" s="110"/>
      <c r="O1171" s="110"/>
      <c r="P1171" s="110"/>
      <c r="Q1171" s="110"/>
    </row>
    <row r="1172" spans="2:17" ht="45" x14ac:dyDescent="0.2">
      <c r="B1172" s="5" t="s">
        <v>9</v>
      </c>
      <c r="C1172" s="5" t="s">
        <v>10</v>
      </c>
      <c r="D1172" s="5" t="s">
        <v>1</v>
      </c>
      <c r="E1172" s="5" t="s">
        <v>0</v>
      </c>
      <c r="F1172" s="78" t="s">
        <v>17</v>
      </c>
      <c r="G1172" s="5" t="s">
        <v>2</v>
      </c>
      <c r="H1172" s="5" t="s">
        <v>11</v>
      </c>
      <c r="I1172" s="5" t="s">
        <v>16</v>
      </c>
      <c r="J1172" s="5" t="s">
        <v>465</v>
      </c>
      <c r="K1172" s="5" t="s">
        <v>462</v>
      </c>
      <c r="L1172" s="5" t="s">
        <v>463</v>
      </c>
      <c r="M1172" s="5" t="s">
        <v>464</v>
      </c>
      <c r="N1172" s="5" t="s">
        <v>12</v>
      </c>
      <c r="O1172" s="5" t="s">
        <v>3</v>
      </c>
      <c r="P1172" s="5" t="s">
        <v>13</v>
      </c>
      <c r="Q1172" s="5" t="s">
        <v>8</v>
      </c>
    </row>
    <row r="1173" spans="2:17" x14ac:dyDescent="0.2">
      <c r="B1173" s="34">
        <v>14000</v>
      </c>
      <c r="C1173" s="35"/>
      <c r="D1173" s="36">
        <v>530</v>
      </c>
      <c r="E1173" s="42" t="s">
        <v>588</v>
      </c>
      <c r="F1173" s="37" t="s">
        <v>635</v>
      </c>
      <c r="G1173" s="37" t="s">
        <v>461</v>
      </c>
      <c r="H1173" s="38">
        <v>211001</v>
      </c>
      <c r="I1173" s="41" t="s">
        <v>590</v>
      </c>
      <c r="J1173" s="62">
        <v>668185.25</v>
      </c>
      <c r="K1173" s="62">
        <v>668185.25</v>
      </c>
      <c r="L1173" s="62">
        <v>668185.25</v>
      </c>
      <c r="M1173" s="62">
        <v>668185.25</v>
      </c>
      <c r="N1173" s="63">
        <v>2672741</v>
      </c>
      <c r="O1173" s="39" t="s">
        <v>636</v>
      </c>
      <c r="P1173" s="39"/>
      <c r="Q1173" s="59"/>
    </row>
    <row r="1174" spans="2:17" x14ac:dyDescent="0.2">
      <c r="B1174" s="34">
        <v>14000</v>
      </c>
      <c r="C1174" s="35"/>
      <c r="D1174" s="36">
        <v>530</v>
      </c>
      <c r="E1174" s="42" t="s">
        <v>588</v>
      </c>
      <c r="F1174" s="37" t="s">
        <v>635</v>
      </c>
      <c r="G1174" s="37" t="s">
        <v>461</v>
      </c>
      <c r="H1174" s="38">
        <v>212001</v>
      </c>
      <c r="I1174" s="41" t="s">
        <v>591</v>
      </c>
      <c r="J1174" s="62">
        <v>194990</v>
      </c>
      <c r="K1174" s="62">
        <v>402651</v>
      </c>
      <c r="L1174" s="62">
        <v>198894</v>
      </c>
      <c r="M1174" s="62">
        <v>222570</v>
      </c>
      <c r="N1174" s="63">
        <v>1019105</v>
      </c>
      <c r="O1174" s="39" t="s">
        <v>637</v>
      </c>
      <c r="P1174" s="39"/>
      <c r="Q1174" s="59"/>
    </row>
    <row r="1175" spans="2:17" x14ac:dyDescent="0.2">
      <c r="B1175" s="34">
        <v>14000</v>
      </c>
      <c r="C1175" s="35"/>
      <c r="D1175" s="36">
        <v>530</v>
      </c>
      <c r="E1175" s="42" t="s">
        <v>588</v>
      </c>
      <c r="F1175" s="37" t="s">
        <v>635</v>
      </c>
      <c r="G1175" s="37" t="s">
        <v>461</v>
      </c>
      <c r="H1175" s="38">
        <v>216001</v>
      </c>
      <c r="I1175" s="41" t="s">
        <v>592</v>
      </c>
      <c r="J1175" s="62">
        <v>487500</v>
      </c>
      <c r="K1175" s="62">
        <v>487500</v>
      </c>
      <c r="L1175" s="62">
        <v>487500</v>
      </c>
      <c r="M1175" s="62">
        <v>487500</v>
      </c>
      <c r="N1175" s="63">
        <v>1950000</v>
      </c>
      <c r="O1175" s="39" t="s">
        <v>636</v>
      </c>
      <c r="P1175" s="39"/>
      <c r="Q1175" s="59"/>
    </row>
    <row r="1176" spans="2:17" x14ac:dyDescent="0.2">
      <c r="B1176" s="34">
        <v>14000</v>
      </c>
      <c r="C1176" s="35"/>
      <c r="D1176" s="36">
        <v>530</v>
      </c>
      <c r="E1176" s="42" t="s">
        <v>588</v>
      </c>
      <c r="F1176" s="37" t="s">
        <v>635</v>
      </c>
      <c r="G1176" s="37" t="s">
        <v>461</v>
      </c>
      <c r="H1176" s="38">
        <v>261001</v>
      </c>
      <c r="I1176" s="41" t="s">
        <v>593</v>
      </c>
      <c r="J1176" s="62">
        <v>9450000</v>
      </c>
      <c r="K1176" s="62">
        <v>9450000</v>
      </c>
      <c r="L1176" s="62">
        <v>9450000</v>
      </c>
      <c r="M1176" s="62">
        <v>9450000</v>
      </c>
      <c r="N1176" s="63">
        <v>37800000</v>
      </c>
      <c r="O1176" s="39" t="s">
        <v>636</v>
      </c>
      <c r="P1176" s="79"/>
      <c r="Q1176" s="59"/>
    </row>
    <row r="1177" spans="2:17" x14ac:dyDescent="0.2">
      <c r="B1177" s="34">
        <v>14000</v>
      </c>
      <c r="D1177" s="4">
        <v>530</v>
      </c>
      <c r="E1177" s="42" t="s">
        <v>588</v>
      </c>
      <c r="F1177" s="68" t="s">
        <v>638</v>
      </c>
      <c r="G1177" s="68" t="s">
        <v>461</v>
      </c>
      <c r="H1177" s="4">
        <v>222001</v>
      </c>
      <c r="I1177" s="4" t="s">
        <v>639</v>
      </c>
      <c r="J1177" s="98">
        <v>52000</v>
      </c>
      <c r="K1177" s="98">
        <v>52000</v>
      </c>
      <c r="L1177" s="98">
        <v>52000</v>
      </c>
      <c r="M1177" s="98">
        <v>52000</v>
      </c>
      <c r="N1177" s="98">
        <v>208000</v>
      </c>
      <c r="O1177" s="68" t="s">
        <v>640</v>
      </c>
      <c r="P1177" s="39"/>
      <c r="Q1177" s="59"/>
    </row>
    <row r="1178" spans="2:17" x14ac:dyDescent="0.2">
      <c r="B1178" s="34">
        <v>14000</v>
      </c>
      <c r="D1178" s="4">
        <v>530</v>
      </c>
      <c r="E1178" s="42" t="s">
        <v>588</v>
      </c>
      <c r="F1178" s="68" t="s">
        <v>641</v>
      </c>
      <c r="G1178" s="68" t="s">
        <v>461</v>
      </c>
      <c r="H1178" s="4">
        <v>221001</v>
      </c>
      <c r="I1178" s="4" t="s">
        <v>642</v>
      </c>
      <c r="J1178" s="98">
        <v>12010882.539999999</v>
      </c>
      <c r="K1178" s="98">
        <v>12010882.539999999</v>
      </c>
      <c r="L1178" s="98">
        <v>12010882.539999999</v>
      </c>
      <c r="M1178" s="98">
        <v>12010882.539999999</v>
      </c>
      <c r="N1178" s="98">
        <v>48043530.159999996</v>
      </c>
      <c r="O1178" s="68" t="s">
        <v>640</v>
      </c>
      <c r="P1178" s="39"/>
      <c r="Q1178" s="59"/>
    </row>
    <row r="1179" spans="2:17" x14ac:dyDescent="0.2">
      <c r="B1179" s="34">
        <v>14000</v>
      </c>
      <c r="D1179" s="4">
        <v>530</v>
      </c>
      <c r="E1179" s="42" t="s">
        <v>588</v>
      </c>
      <c r="F1179" s="68" t="s">
        <v>641</v>
      </c>
      <c r="G1179" s="68" t="s">
        <v>461</v>
      </c>
      <c r="H1179" s="4">
        <v>221001</v>
      </c>
      <c r="I1179" s="4" t="s">
        <v>642</v>
      </c>
      <c r="J1179" s="98">
        <v>579224.52</v>
      </c>
      <c r="K1179" s="98">
        <v>579224.52</v>
      </c>
      <c r="L1179" s="98">
        <v>579224.52</v>
      </c>
      <c r="M1179" s="98">
        <v>579224.52</v>
      </c>
      <c r="N1179" s="98">
        <v>2316898.08</v>
      </c>
      <c r="O1179" s="68" t="s">
        <v>640</v>
      </c>
      <c r="P1179" s="39"/>
      <c r="Q1179" s="59"/>
    </row>
    <row r="1180" spans="2:17" x14ac:dyDescent="0.2">
      <c r="B1180" s="34">
        <v>14000</v>
      </c>
      <c r="D1180" s="4">
        <v>530</v>
      </c>
      <c r="E1180" s="42" t="s">
        <v>588</v>
      </c>
      <c r="F1180" s="68" t="s">
        <v>641</v>
      </c>
      <c r="G1180" s="68" t="s">
        <v>461</v>
      </c>
      <c r="H1180" s="4">
        <v>221001</v>
      </c>
      <c r="I1180" s="4" t="s">
        <v>642</v>
      </c>
      <c r="J1180" s="98">
        <v>1763990.25</v>
      </c>
      <c r="K1180" s="98">
        <v>1763990.25</v>
      </c>
      <c r="L1180" s="98">
        <v>1763990.25</v>
      </c>
      <c r="M1180" s="98">
        <v>1763990.25</v>
      </c>
      <c r="N1180" s="98">
        <v>7055961</v>
      </c>
      <c r="O1180" s="68" t="s">
        <v>640</v>
      </c>
      <c r="P1180" s="39"/>
      <c r="Q1180" s="59"/>
    </row>
    <row r="1181" spans="2:17" x14ac:dyDescent="0.2">
      <c r="B1181" s="34">
        <v>14000</v>
      </c>
      <c r="D1181" s="4">
        <v>530</v>
      </c>
      <c r="E1181" s="42" t="s">
        <v>588</v>
      </c>
      <c r="F1181" s="68" t="s">
        <v>641</v>
      </c>
      <c r="G1181" s="68" t="s">
        <v>461</v>
      </c>
      <c r="H1181" s="4">
        <v>221001</v>
      </c>
      <c r="I1181" s="4" t="s">
        <v>642</v>
      </c>
      <c r="J1181" s="98">
        <v>1502739.22</v>
      </c>
      <c r="K1181" s="98">
        <v>1502739.22</v>
      </c>
      <c r="L1181" s="98">
        <v>1502739.22</v>
      </c>
      <c r="M1181" s="98">
        <v>1502739.22</v>
      </c>
      <c r="N1181" s="98">
        <v>6010956.8799999999</v>
      </c>
      <c r="O1181" s="68" t="s">
        <v>640</v>
      </c>
      <c r="P1181" s="39"/>
      <c r="Q1181" s="59"/>
    </row>
    <row r="1182" spans="2:17" x14ac:dyDescent="0.2">
      <c r="B1182" s="34">
        <v>14000</v>
      </c>
      <c r="D1182" s="4">
        <v>530</v>
      </c>
      <c r="E1182" s="42" t="s">
        <v>588</v>
      </c>
      <c r="F1182" s="68" t="s">
        <v>643</v>
      </c>
      <c r="G1182" s="68" t="s">
        <v>461</v>
      </c>
      <c r="H1182" s="4">
        <v>221001</v>
      </c>
      <c r="I1182" s="4" t="s">
        <v>642</v>
      </c>
      <c r="J1182" s="98">
        <v>1100469</v>
      </c>
      <c r="K1182" s="98">
        <v>1100469</v>
      </c>
      <c r="L1182" s="98">
        <v>1100469</v>
      </c>
      <c r="M1182" s="98">
        <v>1100469</v>
      </c>
      <c r="N1182" s="98">
        <v>4401876</v>
      </c>
      <c r="O1182" s="68" t="s">
        <v>640</v>
      </c>
      <c r="P1182" s="39"/>
      <c r="Q1182" s="59"/>
    </row>
    <row r="1183" spans="2:17" x14ac:dyDescent="0.2">
      <c r="B1183" s="34">
        <v>14000</v>
      </c>
      <c r="D1183" s="4">
        <v>530</v>
      </c>
      <c r="E1183" s="42" t="s">
        <v>588</v>
      </c>
      <c r="F1183" s="68" t="s">
        <v>644</v>
      </c>
      <c r="G1183" s="68" t="s">
        <v>461</v>
      </c>
      <c r="H1183" s="4">
        <v>221001</v>
      </c>
      <c r="I1183" s="4" t="s">
        <v>642</v>
      </c>
      <c r="J1183" s="98">
        <v>135224.91</v>
      </c>
      <c r="K1183" s="98">
        <v>135224.91</v>
      </c>
      <c r="L1183" s="98">
        <v>135224.91</v>
      </c>
      <c r="M1183" s="98">
        <v>135224.91</v>
      </c>
      <c r="N1183" s="98">
        <v>540899.64</v>
      </c>
      <c r="O1183" s="68" t="s">
        <v>640</v>
      </c>
      <c r="P1183" s="39"/>
      <c r="Q1183" s="59"/>
    </row>
    <row r="1184" spans="2:17" ht="25.5" x14ac:dyDescent="0.2">
      <c r="B1184" s="34">
        <v>14000</v>
      </c>
      <c r="D1184" s="4">
        <v>530</v>
      </c>
      <c r="E1184" s="42" t="s">
        <v>588</v>
      </c>
      <c r="F1184" s="68" t="s">
        <v>635</v>
      </c>
      <c r="G1184" s="68" t="s">
        <v>458</v>
      </c>
      <c r="H1184" s="4">
        <v>323001</v>
      </c>
      <c r="I1184" s="4" t="s">
        <v>594</v>
      </c>
      <c r="J1184" s="98">
        <v>366861.6</v>
      </c>
      <c r="K1184" s="98">
        <v>366861.6</v>
      </c>
      <c r="L1184" s="98">
        <v>366861.6</v>
      </c>
      <c r="M1184" s="98">
        <v>366861.6</v>
      </c>
      <c r="N1184" s="98">
        <v>1467446.4</v>
      </c>
      <c r="O1184" s="68" t="s">
        <v>637</v>
      </c>
      <c r="P1184" s="39"/>
      <c r="Q1184" s="59"/>
    </row>
    <row r="1185" spans="2:17" x14ac:dyDescent="0.2">
      <c r="B1185" s="34">
        <v>14000</v>
      </c>
      <c r="D1185" s="4">
        <v>530</v>
      </c>
      <c r="E1185" s="42" t="s">
        <v>588</v>
      </c>
      <c r="F1185" s="68" t="s">
        <v>635</v>
      </c>
      <c r="G1185" s="68" t="s">
        <v>458</v>
      </c>
      <c r="H1185" s="4">
        <v>371001</v>
      </c>
      <c r="I1185" s="4" t="s">
        <v>607</v>
      </c>
      <c r="J1185" s="98">
        <v>299250</v>
      </c>
      <c r="K1185" s="98">
        <v>299250</v>
      </c>
      <c r="L1185" s="98">
        <v>299250</v>
      </c>
      <c r="M1185" s="98">
        <v>299250</v>
      </c>
      <c r="N1185" s="98">
        <v>1197000</v>
      </c>
      <c r="O1185" s="68" t="s">
        <v>637</v>
      </c>
      <c r="P1185" s="39"/>
      <c r="Q1185" s="59"/>
    </row>
    <row r="1186" spans="2:17" x14ac:dyDescent="0.2">
      <c r="B1186" s="34">
        <v>14000</v>
      </c>
      <c r="D1186" s="4">
        <v>530</v>
      </c>
      <c r="E1186" s="42" t="s">
        <v>588</v>
      </c>
      <c r="F1186" s="68" t="s">
        <v>635</v>
      </c>
      <c r="G1186" s="68" t="s">
        <v>458</v>
      </c>
      <c r="H1186" s="4">
        <v>345001</v>
      </c>
      <c r="I1186" s="4" t="s">
        <v>645</v>
      </c>
      <c r="J1186" s="98">
        <v>581250</v>
      </c>
      <c r="K1186" s="98">
        <v>581250</v>
      </c>
      <c r="L1186" s="98">
        <v>581250</v>
      </c>
      <c r="M1186" s="98">
        <v>581250</v>
      </c>
      <c r="N1186" s="98">
        <v>2325000</v>
      </c>
      <c r="O1186" s="68" t="s">
        <v>637</v>
      </c>
      <c r="P1186" s="39"/>
      <c r="Q1186" s="59"/>
    </row>
    <row r="1187" spans="2:17" x14ac:dyDescent="0.2">
      <c r="B1187" s="34">
        <v>14000</v>
      </c>
      <c r="D1187" s="4">
        <v>530</v>
      </c>
      <c r="E1187" s="42" t="s">
        <v>588</v>
      </c>
      <c r="F1187" s="68" t="s">
        <v>646</v>
      </c>
      <c r="G1187" s="68" t="s">
        <v>458</v>
      </c>
      <c r="H1187" s="4">
        <v>338001</v>
      </c>
      <c r="I1187" s="4" t="s">
        <v>647</v>
      </c>
      <c r="J1187" s="98">
        <v>274750</v>
      </c>
      <c r="K1187" s="98">
        <v>274750</v>
      </c>
      <c r="L1187" s="98">
        <v>274750</v>
      </c>
      <c r="M1187" s="98">
        <v>274750</v>
      </c>
      <c r="N1187" s="98">
        <v>1099000</v>
      </c>
      <c r="O1187" s="68" t="s">
        <v>637</v>
      </c>
      <c r="P1187" s="39"/>
      <c r="Q1187" s="59"/>
    </row>
    <row r="1188" spans="2:17" ht="25.5" x14ac:dyDescent="0.2">
      <c r="B1188" s="34">
        <v>14000</v>
      </c>
      <c r="D1188" s="4">
        <v>530</v>
      </c>
      <c r="E1188" s="42" t="s">
        <v>588</v>
      </c>
      <c r="F1188" s="68" t="s">
        <v>635</v>
      </c>
      <c r="G1188" s="68" t="s">
        <v>458</v>
      </c>
      <c r="H1188" s="4">
        <v>359000</v>
      </c>
      <c r="I1188" s="4" t="s">
        <v>648</v>
      </c>
      <c r="J1188" s="98">
        <v>550000</v>
      </c>
      <c r="K1188" s="98">
        <v>550000</v>
      </c>
      <c r="L1188" s="98">
        <v>550000</v>
      </c>
      <c r="M1188" s="98">
        <v>550000</v>
      </c>
      <c r="N1188" s="98">
        <v>2200000</v>
      </c>
      <c r="O1188" s="68" t="s">
        <v>637</v>
      </c>
      <c r="P1188" s="39"/>
      <c r="Q1188" s="59"/>
    </row>
    <row r="1189" spans="2:17" x14ac:dyDescent="0.2">
      <c r="B1189" s="34"/>
      <c r="D1189" s="4"/>
      <c r="E1189" s="42"/>
      <c r="F1189" s="68"/>
      <c r="G1189" s="68"/>
      <c r="H1189" s="4"/>
      <c r="I1189" s="4"/>
      <c r="J1189" s="98"/>
      <c r="K1189" s="98"/>
      <c r="L1189" s="98"/>
      <c r="M1189" s="98"/>
      <c r="N1189" s="98">
        <f>SUBTOTAL(109,Tabla9[[PRESUPUESTO ANUAL AUTORIZADO ]])</f>
        <v>120308414.16</v>
      </c>
      <c r="O1189" s="68"/>
      <c r="P1189" s="39"/>
      <c r="Q1189" s="59"/>
    </row>
    <row r="1190" spans="2:17" x14ac:dyDescent="0.2">
      <c r="B1190" s="34"/>
      <c r="D1190" s="4"/>
      <c r="E1190" s="42"/>
      <c r="F1190" s="68"/>
      <c r="G1190" s="68"/>
      <c r="H1190" s="4"/>
      <c r="I1190" s="4"/>
      <c r="J1190" s="98"/>
      <c r="K1190" s="98"/>
      <c r="L1190" s="98"/>
      <c r="M1190" s="98"/>
      <c r="N1190" s="98"/>
      <c r="O1190" s="68"/>
      <c r="P1190" s="39"/>
      <c r="Q1190" s="59"/>
    </row>
    <row r="1191" spans="2:17" s="106" customFormat="1" ht="22.5" customHeight="1" x14ac:dyDescent="0.2">
      <c r="B1191" s="112" t="s">
        <v>4</v>
      </c>
      <c r="C1191" s="112"/>
      <c r="D1191" s="112"/>
      <c r="E1191" s="112"/>
      <c r="F1191" s="112"/>
      <c r="G1191" s="112"/>
      <c r="H1191" s="112"/>
      <c r="I1191" s="112"/>
      <c r="J1191" s="112"/>
      <c r="K1191" s="112"/>
      <c r="L1191" s="112"/>
      <c r="M1191" s="112"/>
      <c r="N1191" s="112"/>
      <c r="O1191" s="112"/>
      <c r="P1191" s="112"/>
      <c r="Q1191" s="112"/>
    </row>
    <row r="1192" spans="2:17" s="106" customFormat="1" ht="18.75" customHeight="1" x14ac:dyDescent="0.2">
      <c r="B1192" s="113" t="s">
        <v>778</v>
      </c>
      <c r="C1192" s="113"/>
      <c r="D1192" s="113"/>
      <c r="E1192" s="113"/>
      <c r="F1192" s="113"/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</row>
    <row r="1193" spans="2:17" s="106" customFormat="1" ht="32.25" customHeight="1" x14ac:dyDescent="0.2">
      <c r="B1193" s="114" t="s">
        <v>466</v>
      </c>
      <c r="C1193" s="114"/>
      <c r="D1193" s="114"/>
      <c r="E1193" s="114"/>
      <c r="F1193" s="114"/>
      <c r="G1193" s="114"/>
      <c r="H1193" s="114"/>
      <c r="I1193" s="114"/>
      <c r="J1193" s="114"/>
      <c r="K1193" s="114"/>
      <c r="L1193" s="114"/>
      <c r="M1193" s="114"/>
      <c r="N1193" s="114"/>
      <c r="O1193" s="114"/>
      <c r="P1193" s="114"/>
      <c r="Q1193" s="114"/>
    </row>
    <row r="1194" spans="2:17" s="107" customFormat="1" ht="69" customHeight="1" x14ac:dyDescent="0.2">
      <c r="B1194" s="5" t="s">
        <v>9</v>
      </c>
      <c r="C1194" s="5" t="s">
        <v>10</v>
      </c>
      <c r="D1194" s="5" t="s">
        <v>1</v>
      </c>
      <c r="E1194" s="5" t="s">
        <v>0</v>
      </c>
      <c r="F1194" s="5" t="s">
        <v>17</v>
      </c>
      <c r="G1194" s="5" t="s">
        <v>2</v>
      </c>
      <c r="H1194" s="5" t="s">
        <v>11</v>
      </c>
      <c r="I1194" s="5" t="s">
        <v>16</v>
      </c>
      <c r="J1194" s="5" t="s">
        <v>465</v>
      </c>
      <c r="K1194" s="5" t="s">
        <v>462</v>
      </c>
      <c r="L1194" s="5" t="s">
        <v>463</v>
      </c>
      <c r="M1194" s="5" t="s">
        <v>464</v>
      </c>
      <c r="N1194" s="5" t="s">
        <v>12</v>
      </c>
      <c r="O1194" s="5" t="s">
        <v>3</v>
      </c>
      <c r="P1194" s="5" t="s">
        <v>13</v>
      </c>
      <c r="Q1194" s="5" t="s">
        <v>8</v>
      </c>
    </row>
    <row r="1195" spans="2:17" s="106" customFormat="1" ht="37.5" customHeight="1" x14ac:dyDescent="0.2">
      <c r="B1195" s="66">
        <v>1500</v>
      </c>
      <c r="C1195" s="67" t="s">
        <v>767</v>
      </c>
      <c r="D1195" s="37">
        <v>530</v>
      </c>
      <c r="E1195" s="42" t="str">
        <f>IF(D1195&lt;=0,"",VLOOKUP(D1195,[10]FF!A:D,2,0))</f>
        <v>PARTICIPACIONES Ramo 28</v>
      </c>
      <c r="F1195" s="37" t="s">
        <v>768</v>
      </c>
      <c r="G1195" s="37" t="s">
        <v>461</v>
      </c>
      <c r="H1195" s="37">
        <v>211001</v>
      </c>
      <c r="I1195" s="41" t="str">
        <f>IF(H1195&lt;=0,"",VLOOKUP(H1195,[10]COG!A:H,2,0))</f>
        <v>Material de oficina</v>
      </c>
      <c r="J1195" s="39">
        <v>4000</v>
      </c>
      <c r="K1195" s="39">
        <v>4000</v>
      </c>
      <c r="L1195" s="39">
        <v>8000</v>
      </c>
      <c r="M1195" s="39">
        <v>8000</v>
      </c>
      <c r="N1195" s="108">
        <f>Tabla12[[#This Row],[TRIMESTRE  I]]+Tabla12[[#This Row],[TRIMESTRE II]]+Tabla12[[#This Row],[TRIMESTRE III]]+Tabla12[[#This Row],[TRIMESTRE IV]]</f>
        <v>24000</v>
      </c>
      <c r="O1195" s="39" t="s">
        <v>5</v>
      </c>
      <c r="P1195" s="79" t="s">
        <v>769</v>
      </c>
      <c r="Q1195" s="59" t="s">
        <v>581</v>
      </c>
    </row>
    <row r="1196" spans="2:17" s="106" customFormat="1" ht="37.5" customHeight="1" x14ac:dyDescent="0.2">
      <c r="B1196" s="66">
        <v>1500</v>
      </c>
      <c r="C1196" s="67" t="s">
        <v>767</v>
      </c>
      <c r="D1196" s="37">
        <v>530</v>
      </c>
      <c r="E1196" s="42" t="str">
        <f>IF(D1196&lt;=0,"",VLOOKUP(D1196,[10]FF!A:D,2,0))</f>
        <v>PARTICIPACIONES Ramo 28</v>
      </c>
      <c r="F1196" s="37" t="s">
        <v>770</v>
      </c>
      <c r="G1196" s="37" t="s">
        <v>461</v>
      </c>
      <c r="H1196" s="37">
        <v>211001</v>
      </c>
      <c r="I1196" s="41" t="str">
        <f>IF(H1196&lt;=0,"",VLOOKUP(H1196,[10]COG!A:H,2,0))</f>
        <v>Material de oficina</v>
      </c>
      <c r="J1196" s="39">
        <v>5000</v>
      </c>
      <c r="K1196" s="39">
        <v>5000</v>
      </c>
      <c r="L1196" s="39">
        <v>12000</v>
      </c>
      <c r="M1196" s="39">
        <v>11000</v>
      </c>
      <c r="N1196" s="108">
        <f>Tabla12[[#This Row],[TRIMESTRE  I]]+Tabla12[[#This Row],[TRIMESTRE II]]+Tabla12[[#This Row],[TRIMESTRE III]]+Tabla12[[#This Row],[TRIMESTRE IV]]</f>
        <v>33000</v>
      </c>
      <c r="O1196" s="39" t="s">
        <v>5</v>
      </c>
      <c r="P1196" s="79" t="s">
        <v>769</v>
      </c>
      <c r="Q1196" s="59" t="s">
        <v>581</v>
      </c>
    </row>
    <row r="1197" spans="2:17" s="106" customFormat="1" ht="37.5" customHeight="1" x14ac:dyDescent="0.2">
      <c r="B1197" s="66">
        <v>1500</v>
      </c>
      <c r="C1197" s="67" t="s">
        <v>767</v>
      </c>
      <c r="D1197" s="37">
        <v>530</v>
      </c>
      <c r="E1197" s="42" t="str">
        <f>IF(D1197&lt;=0,"",VLOOKUP(D1197,[10]FF!A:D,2,0))</f>
        <v>PARTICIPACIONES Ramo 28</v>
      </c>
      <c r="F1197" s="37" t="s">
        <v>771</v>
      </c>
      <c r="G1197" s="37" t="s">
        <v>461</v>
      </c>
      <c r="H1197" s="37">
        <v>211001</v>
      </c>
      <c r="I1197" s="41" t="str">
        <f>IF(H1197&lt;=0,"",VLOOKUP(H1197,[10]COG!A:H,2,0))</f>
        <v>Material de oficina</v>
      </c>
      <c r="J1197" s="39">
        <v>4000</v>
      </c>
      <c r="K1197" s="39">
        <v>4000</v>
      </c>
      <c r="L1197" s="39">
        <v>5000</v>
      </c>
      <c r="M1197" s="39">
        <v>6000</v>
      </c>
      <c r="N1197" s="108">
        <f>Tabla12[[#This Row],[TRIMESTRE  I]]+Tabla12[[#This Row],[TRIMESTRE II]]+Tabla12[[#This Row],[TRIMESTRE III]]+Tabla12[[#This Row],[TRIMESTRE IV]]</f>
        <v>19000</v>
      </c>
      <c r="O1197" s="39" t="s">
        <v>5</v>
      </c>
      <c r="P1197" s="79" t="s">
        <v>769</v>
      </c>
      <c r="Q1197" s="59" t="s">
        <v>581</v>
      </c>
    </row>
    <row r="1198" spans="2:17" s="106" customFormat="1" ht="37.5" customHeight="1" x14ac:dyDescent="0.2">
      <c r="B1198" s="66">
        <v>1500</v>
      </c>
      <c r="C1198" s="67" t="s">
        <v>767</v>
      </c>
      <c r="D1198" s="37">
        <v>530</v>
      </c>
      <c r="E1198" s="42" t="str">
        <f>IF(D1198&lt;=0,"",VLOOKUP(D1198,[10]FF!A:D,2,0))</f>
        <v>PARTICIPACIONES Ramo 28</v>
      </c>
      <c r="F1198" s="37" t="s">
        <v>772</v>
      </c>
      <c r="G1198" s="37" t="s">
        <v>461</v>
      </c>
      <c r="H1198" s="37">
        <v>211001</v>
      </c>
      <c r="I1198" s="41" t="str">
        <f>IF(H1198&lt;=0,"",VLOOKUP(H1198,[10]COG!A:H,2,0))</f>
        <v>Material de oficina</v>
      </c>
      <c r="J1198" s="39">
        <v>2000</v>
      </c>
      <c r="K1198" s="39">
        <v>3000</v>
      </c>
      <c r="L1198" s="39">
        <v>5000</v>
      </c>
      <c r="M1198" s="39">
        <v>6000</v>
      </c>
      <c r="N1198" s="108">
        <f>Tabla12[[#This Row],[TRIMESTRE  I]]+Tabla12[[#This Row],[TRIMESTRE II]]+Tabla12[[#This Row],[TRIMESTRE III]]+Tabla12[[#This Row],[TRIMESTRE IV]]</f>
        <v>16000</v>
      </c>
      <c r="O1198" s="39" t="s">
        <v>5</v>
      </c>
      <c r="P1198" s="79" t="s">
        <v>769</v>
      </c>
      <c r="Q1198" s="59" t="s">
        <v>581</v>
      </c>
    </row>
    <row r="1199" spans="2:17" s="106" customFormat="1" ht="22.5" x14ac:dyDescent="0.2">
      <c r="B1199" s="66">
        <v>1500</v>
      </c>
      <c r="C1199" s="67" t="s">
        <v>767</v>
      </c>
      <c r="D1199" s="37">
        <v>530</v>
      </c>
      <c r="E1199" s="42" t="str">
        <f>IF(D1199&lt;=0,"",VLOOKUP(D1199,[10]FF!A:D,2,0))</f>
        <v>PARTICIPACIONES Ramo 28</v>
      </c>
      <c r="F1199" s="37" t="s">
        <v>773</v>
      </c>
      <c r="G1199" s="37" t="s">
        <v>461</v>
      </c>
      <c r="H1199" s="37">
        <v>211001</v>
      </c>
      <c r="I1199" s="41" t="str">
        <f>IF(H1199&lt;=0,"",VLOOKUP(H1199,[10]COG!A:H,2,0))</f>
        <v>Material de oficina</v>
      </c>
      <c r="J1199" s="39">
        <v>3000</v>
      </c>
      <c r="K1199" s="39">
        <v>3200</v>
      </c>
      <c r="L1199" s="39">
        <v>5000</v>
      </c>
      <c r="M1199" s="39">
        <v>5000</v>
      </c>
      <c r="N1199" s="108">
        <f>Tabla12[[#This Row],[TRIMESTRE  I]]+Tabla12[[#This Row],[TRIMESTRE II]]+Tabla12[[#This Row],[TRIMESTRE III]]+Tabla12[[#This Row],[TRIMESTRE IV]]</f>
        <v>16200</v>
      </c>
      <c r="O1199" s="39" t="s">
        <v>5</v>
      </c>
      <c r="P1199" s="79" t="s">
        <v>769</v>
      </c>
      <c r="Q1199" s="59" t="s">
        <v>581</v>
      </c>
    </row>
    <row r="1200" spans="2:17" s="106" customFormat="1" ht="37.5" customHeight="1" x14ac:dyDescent="0.2">
      <c r="B1200" s="66">
        <v>1500</v>
      </c>
      <c r="C1200" s="67" t="s">
        <v>767</v>
      </c>
      <c r="D1200" s="37">
        <v>530</v>
      </c>
      <c r="E1200" s="42" t="str">
        <f>IF(D1200&lt;=0,"",VLOOKUP(D1200,[10]FF!A:D,2,0))</f>
        <v>PARTICIPACIONES Ramo 28</v>
      </c>
      <c r="F1200" s="37" t="s">
        <v>774</v>
      </c>
      <c r="G1200" s="37" t="s">
        <v>461</v>
      </c>
      <c r="H1200" s="37">
        <v>211001</v>
      </c>
      <c r="I1200" s="41" t="str">
        <f>IF(H1200&lt;=0,"",VLOOKUP(H1200,[10]COG!A:H,2,0))</f>
        <v>Material de oficina</v>
      </c>
      <c r="J1200" s="39">
        <v>3000</v>
      </c>
      <c r="K1200" s="39">
        <v>3800</v>
      </c>
      <c r="L1200" s="39">
        <v>6000</v>
      </c>
      <c r="M1200" s="39">
        <v>7000</v>
      </c>
      <c r="N1200" s="108">
        <f>Tabla12[[#This Row],[TRIMESTRE  I]]+Tabla12[[#This Row],[TRIMESTRE II]]+Tabla12[[#This Row],[TRIMESTRE III]]+Tabla12[[#This Row],[TRIMESTRE IV]]</f>
        <v>19800</v>
      </c>
      <c r="O1200" s="39" t="s">
        <v>5</v>
      </c>
      <c r="P1200" s="79" t="s">
        <v>769</v>
      </c>
      <c r="Q1200" s="59" t="s">
        <v>581</v>
      </c>
    </row>
    <row r="1201" spans="2:17" s="106" customFormat="1" ht="37.5" customHeight="1" x14ac:dyDescent="0.2">
      <c r="B1201" s="66">
        <v>1500</v>
      </c>
      <c r="C1201" s="67" t="s">
        <v>767</v>
      </c>
      <c r="D1201" s="37">
        <v>530</v>
      </c>
      <c r="E1201" s="42" t="str">
        <f>IF(D1201&lt;=0,"",VLOOKUP(D1201,[10]FF!A:D,2,0))</f>
        <v>PARTICIPACIONES Ramo 28</v>
      </c>
      <c r="F1201" s="37" t="s">
        <v>775</v>
      </c>
      <c r="G1201" s="37" t="s">
        <v>461</v>
      </c>
      <c r="H1201" s="37">
        <v>211001</v>
      </c>
      <c r="I1201" s="41" t="str">
        <f>IF(H1201&lt;=0,"",VLOOKUP(H1201,[10]COG!A:H,2,0))</f>
        <v>Material de oficina</v>
      </c>
      <c r="J1201" s="39">
        <v>4000</v>
      </c>
      <c r="K1201" s="39">
        <v>4000</v>
      </c>
      <c r="L1201" s="39">
        <v>7000</v>
      </c>
      <c r="M1201" s="39">
        <v>7000</v>
      </c>
      <c r="N1201" s="108">
        <f>Tabla12[[#This Row],[TRIMESTRE  I]]+Tabla12[[#This Row],[TRIMESTRE II]]+Tabla12[[#This Row],[TRIMESTRE III]]+Tabla12[[#This Row],[TRIMESTRE IV]]</f>
        <v>22000</v>
      </c>
      <c r="O1201" s="39" t="s">
        <v>5</v>
      </c>
      <c r="P1201" s="79" t="s">
        <v>769</v>
      </c>
      <c r="Q1201" s="59" t="s">
        <v>581</v>
      </c>
    </row>
    <row r="1202" spans="2:17" s="106" customFormat="1" ht="37.5" customHeight="1" x14ac:dyDescent="0.2">
      <c r="B1202" s="66">
        <v>1500</v>
      </c>
      <c r="C1202" s="67" t="s">
        <v>767</v>
      </c>
      <c r="D1202" s="37">
        <v>530</v>
      </c>
      <c r="E1202" s="42" t="str">
        <f>IF(D1202&lt;=0,"",VLOOKUP(D1202,[10]FF!A:D,2,0))</f>
        <v>PARTICIPACIONES Ramo 28</v>
      </c>
      <c r="F1202" s="37" t="s">
        <v>768</v>
      </c>
      <c r="G1202" s="37" t="s">
        <v>461</v>
      </c>
      <c r="H1202" s="37">
        <v>212001</v>
      </c>
      <c r="I1202" s="41" t="str">
        <f>IF(H1202&lt;=0,"",VLOOKUP(H1202,[10]COG!A:H,2,0))</f>
        <v>Material y útiles de impresión</v>
      </c>
      <c r="J1202" s="39">
        <v>0</v>
      </c>
      <c r="K1202" s="39">
        <v>1400</v>
      </c>
      <c r="L1202" s="39">
        <v>500</v>
      </c>
      <c r="M1202" s="39">
        <v>1181</v>
      </c>
      <c r="N1202" s="108">
        <f>Tabla12[[#This Row],[TRIMESTRE  I]]+Tabla12[[#This Row],[TRIMESTRE II]]+Tabla12[[#This Row],[TRIMESTRE III]]+Tabla12[[#This Row],[TRIMESTRE IV]]</f>
        <v>3081</v>
      </c>
      <c r="O1202" s="39" t="s">
        <v>5</v>
      </c>
      <c r="P1202" s="79" t="s">
        <v>769</v>
      </c>
      <c r="Q1202" s="59" t="s">
        <v>581</v>
      </c>
    </row>
    <row r="1203" spans="2:17" s="106" customFormat="1" ht="37.5" customHeight="1" x14ac:dyDescent="0.2">
      <c r="B1203" s="66">
        <v>1500</v>
      </c>
      <c r="C1203" s="67" t="s">
        <v>767</v>
      </c>
      <c r="D1203" s="37">
        <v>530</v>
      </c>
      <c r="E1203" s="42" t="str">
        <f>IF(D1203&lt;=0,"",VLOOKUP(D1203,[10]FF!A:D,2,0))</f>
        <v>PARTICIPACIONES Ramo 28</v>
      </c>
      <c r="F1203" s="37" t="s">
        <v>770</v>
      </c>
      <c r="G1203" s="37" t="s">
        <v>461</v>
      </c>
      <c r="H1203" s="37">
        <v>212001</v>
      </c>
      <c r="I1203" s="41" t="str">
        <f>IF(H1203&lt;=0,"",VLOOKUP(H1203,[10]COG!A:H,2,0))</f>
        <v>Material y útiles de impresión</v>
      </c>
      <c r="J1203" s="39">
        <v>1000</v>
      </c>
      <c r="K1203" s="39">
        <v>1000</v>
      </c>
      <c r="L1203" s="39">
        <v>3500</v>
      </c>
      <c r="M1203" s="39">
        <v>0</v>
      </c>
      <c r="N1203" s="108">
        <f>Tabla12[[#This Row],[TRIMESTRE  I]]+Tabla12[[#This Row],[TRIMESTRE II]]+Tabla12[[#This Row],[TRIMESTRE III]]+Tabla12[[#This Row],[TRIMESTRE IV]]</f>
        <v>5500</v>
      </c>
      <c r="O1203" s="39" t="s">
        <v>5</v>
      </c>
      <c r="P1203" s="79" t="s">
        <v>769</v>
      </c>
      <c r="Q1203" s="59" t="s">
        <v>581</v>
      </c>
    </row>
    <row r="1204" spans="2:17" s="106" customFormat="1" ht="37.5" customHeight="1" x14ac:dyDescent="0.2">
      <c r="B1204" s="66">
        <v>1500</v>
      </c>
      <c r="C1204" s="67" t="s">
        <v>767</v>
      </c>
      <c r="D1204" s="37">
        <v>530</v>
      </c>
      <c r="E1204" s="42" t="str">
        <f>IF(D1204&lt;=0,"",VLOOKUP(D1204,[10]FF!A:D,2,0))</f>
        <v>PARTICIPACIONES Ramo 28</v>
      </c>
      <c r="F1204" s="37" t="s">
        <v>771</v>
      </c>
      <c r="G1204" s="37" t="s">
        <v>461</v>
      </c>
      <c r="H1204" s="37">
        <v>212001</v>
      </c>
      <c r="I1204" s="41" t="str">
        <f>IF(H1204&lt;=0,"",VLOOKUP(H1204,[10]COG!A:H,2,0))</f>
        <v>Material y útiles de impresión</v>
      </c>
      <c r="J1204" s="39">
        <v>500</v>
      </c>
      <c r="K1204" s="39">
        <v>3100</v>
      </c>
      <c r="L1204" s="39">
        <v>0</v>
      </c>
      <c r="M1204" s="39">
        <v>0</v>
      </c>
      <c r="N1204" s="108">
        <f>Tabla12[[#This Row],[TRIMESTRE  I]]+Tabla12[[#This Row],[TRIMESTRE II]]+Tabla12[[#This Row],[TRIMESTRE III]]+Tabla12[[#This Row],[TRIMESTRE IV]]</f>
        <v>3600</v>
      </c>
      <c r="O1204" s="39" t="s">
        <v>5</v>
      </c>
      <c r="P1204" s="79" t="s">
        <v>769</v>
      </c>
      <c r="Q1204" s="59" t="s">
        <v>581</v>
      </c>
    </row>
    <row r="1205" spans="2:17" s="106" customFormat="1" ht="37.5" customHeight="1" x14ac:dyDescent="0.2">
      <c r="B1205" s="66">
        <v>1500</v>
      </c>
      <c r="C1205" s="67" t="s">
        <v>767</v>
      </c>
      <c r="D1205" s="37">
        <v>530</v>
      </c>
      <c r="E1205" s="42" t="str">
        <f>IF(D1205&lt;=0,"",VLOOKUP(D1205,[10]FF!A:D,2,0))</f>
        <v>PARTICIPACIONES Ramo 28</v>
      </c>
      <c r="F1205" s="37" t="s">
        <v>772</v>
      </c>
      <c r="G1205" s="37" t="s">
        <v>461</v>
      </c>
      <c r="H1205" s="37">
        <v>212001</v>
      </c>
      <c r="I1205" s="41" t="str">
        <f>IF(H1205&lt;=0,"",VLOOKUP(H1205,[10]COG!A:H,2,0))</f>
        <v>Material y útiles de impresión</v>
      </c>
      <c r="J1205" s="39">
        <v>2000</v>
      </c>
      <c r="K1205" s="39">
        <v>2000</v>
      </c>
      <c r="L1205" s="39">
        <v>683</v>
      </c>
      <c r="M1205" s="39">
        <v>0</v>
      </c>
      <c r="N1205" s="108">
        <f>Tabla12[[#This Row],[TRIMESTRE  I]]+Tabla12[[#This Row],[TRIMESTRE II]]+Tabla12[[#This Row],[TRIMESTRE III]]+Tabla12[[#This Row],[TRIMESTRE IV]]</f>
        <v>4683</v>
      </c>
      <c r="O1205" s="39" t="s">
        <v>5</v>
      </c>
      <c r="P1205" s="79" t="s">
        <v>769</v>
      </c>
      <c r="Q1205" s="59" t="s">
        <v>581</v>
      </c>
    </row>
    <row r="1206" spans="2:17" s="106" customFormat="1" ht="22.5" x14ac:dyDescent="0.2">
      <c r="B1206" s="66">
        <v>1500</v>
      </c>
      <c r="C1206" s="67" t="s">
        <v>767</v>
      </c>
      <c r="D1206" s="37">
        <v>530</v>
      </c>
      <c r="E1206" s="42" t="str">
        <f>IF(D1206&lt;=0,"",VLOOKUP(D1206,[10]FF!A:D,2,0))</f>
        <v>PARTICIPACIONES Ramo 28</v>
      </c>
      <c r="F1206" s="37" t="s">
        <v>773</v>
      </c>
      <c r="G1206" s="37" t="s">
        <v>461</v>
      </c>
      <c r="H1206" s="37">
        <v>212001</v>
      </c>
      <c r="I1206" s="41" t="str">
        <f>IF(H1206&lt;=0,"",VLOOKUP(H1206,[10]COG!A:H,2,0))</f>
        <v>Material y útiles de impresión</v>
      </c>
      <c r="J1206" s="39">
        <v>1500</v>
      </c>
      <c r="K1206" s="39">
        <v>0</v>
      </c>
      <c r="L1206" s="39">
        <v>2500</v>
      </c>
      <c r="M1206" s="39">
        <v>3000</v>
      </c>
      <c r="N1206" s="108">
        <f>Tabla12[[#This Row],[TRIMESTRE  I]]+Tabla12[[#This Row],[TRIMESTRE II]]+Tabla12[[#This Row],[TRIMESTRE III]]+Tabla12[[#This Row],[TRIMESTRE IV]]</f>
        <v>7000</v>
      </c>
      <c r="O1206" s="39" t="s">
        <v>5</v>
      </c>
      <c r="P1206" s="79" t="s">
        <v>769</v>
      </c>
      <c r="Q1206" s="59" t="s">
        <v>581</v>
      </c>
    </row>
    <row r="1207" spans="2:17" s="106" customFormat="1" ht="22.5" x14ac:dyDescent="0.2">
      <c r="B1207" s="66">
        <v>1500</v>
      </c>
      <c r="C1207" s="67" t="s">
        <v>767</v>
      </c>
      <c r="D1207" s="37">
        <v>530</v>
      </c>
      <c r="E1207" s="42" t="str">
        <f>IF(D1207&lt;=0,"",VLOOKUP(D1207,[10]FF!A:D,2,0))</f>
        <v>PARTICIPACIONES Ramo 28</v>
      </c>
      <c r="F1207" s="37" t="s">
        <v>774</v>
      </c>
      <c r="G1207" s="37" t="s">
        <v>461</v>
      </c>
      <c r="H1207" s="37">
        <v>212001</v>
      </c>
      <c r="I1207" s="41" t="str">
        <f>IF(H1207&lt;=0,"",VLOOKUP(H1207,[10]COG!A:H,2,0))</f>
        <v>Material y útiles de impresión</v>
      </c>
      <c r="J1207" s="39">
        <v>0</v>
      </c>
      <c r="K1207" s="39">
        <v>1128</v>
      </c>
      <c r="L1207" s="39">
        <v>1000</v>
      </c>
      <c r="M1207" s="39">
        <v>1319</v>
      </c>
      <c r="N1207" s="108">
        <f>Tabla12[[#This Row],[TRIMESTRE  I]]+Tabla12[[#This Row],[TRIMESTRE II]]+Tabla12[[#This Row],[TRIMESTRE III]]+Tabla12[[#This Row],[TRIMESTRE IV]]</f>
        <v>3447</v>
      </c>
      <c r="O1207" s="39" t="s">
        <v>5</v>
      </c>
      <c r="P1207" s="79" t="s">
        <v>769</v>
      </c>
      <c r="Q1207" s="59" t="s">
        <v>581</v>
      </c>
    </row>
    <row r="1208" spans="2:17" s="106" customFormat="1" ht="22.5" x14ac:dyDescent="0.2">
      <c r="B1208" s="66">
        <v>1500</v>
      </c>
      <c r="C1208" s="67" t="s">
        <v>767</v>
      </c>
      <c r="D1208" s="37">
        <v>530</v>
      </c>
      <c r="E1208" s="42" t="str">
        <f>IF(D1208&lt;=0,"",VLOOKUP(D1208,[10]FF!A:D,2,0))</f>
        <v>PARTICIPACIONES Ramo 28</v>
      </c>
      <c r="F1208" s="37" t="s">
        <v>775</v>
      </c>
      <c r="G1208" s="37" t="s">
        <v>461</v>
      </c>
      <c r="H1208" s="37">
        <v>212001</v>
      </c>
      <c r="I1208" s="41" t="str">
        <f>IF(H1208&lt;=0,"",VLOOKUP(H1208,[10]COG!A:H,2,0))</f>
        <v>Material y útiles de impresión</v>
      </c>
      <c r="J1208" s="39">
        <v>100</v>
      </c>
      <c r="K1208" s="39">
        <v>0</v>
      </c>
      <c r="L1208" s="39">
        <v>0</v>
      </c>
      <c r="M1208" s="39">
        <v>0</v>
      </c>
      <c r="N1208" s="108">
        <f>Tabla12[[#This Row],[TRIMESTRE  I]]+Tabla12[[#This Row],[TRIMESTRE II]]+Tabla12[[#This Row],[TRIMESTRE III]]+Tabla12[[#This Row],[TRIMESTRE IV]]</f>
        <v>100</v>
      </c>
      <c r="O1208" s="39" t="s">
        <v>5</v>
      </c>
      <c r="P1208" s="79" t="s">
        <v>769</v>
      </c>
      <c r="Q1208" s="59" t="s">
        <v>581</v>
      </c>
    </row>
    <row r="1209" spans="2:17" s="106" customFormat="1" ht="27" x14ac:dyDescent="0.2">
      <c r="B1209" s="66">
        <v>1500</v>
      </c>
      <c r="C1209" s="67" t="s">
        <v>767</v>
      </c>
      <c r="D1209" s="37">
        <v>530</v>
      </c>
      <c r="E1209" s="42" t="str">
        <f>IF(D1209&lt;=0,"",VLOOKUP(D1209,[10]FF!A:D,2,0))</f>
        <v>PARTICIPACIONES Ramo 28</v>
      </c>
      <c r="F1209" s="37" t="s">
        <v>768</v>
      </c>
      <c r="G1209" s="37" t="s">
        <v>461</v>
      </c>
      <c r="H1209" s="37">
        <v>214001</v>
      </c>
      <c r="I1209" s="41" t="str">
        <f>IF(H1209&lt;=0,"",VLOOKUP(H1209,[10]COG!A:H,2,0))</f>
        <v>Materiales, útiles y equipos menores de tecnologías de la información y comunicaciones</v>
      </c>
      <c r="J1209" s="39">
        <v>901</v>
      </c>
      <c r="K1209" s="39">
        <v>3400</v>
      </c>
      <c r="L1209" s="39">
        <v>3800</v>
      </c>
      <c r="M1209" s="39">
        <v>3160</v>
      </c>
      <c r="N1209" s="108">
        <f>Tabla12[[#This Row],[TRIMESTRE  I]]+Tabla12[[#This Row],[TRIMESTRE II]]+Tabla12[[#This Row],[TRIMESTRE III]]+Tabla12[[#This Row],[TRIMESTRE IV]]</f>
        <v>11261</v>
      </c>
      <c r="O1209" s="39" t="s">
        <v>6</v>
      </c>
      <c r="P1209" s="79" t="s">
        <v>769</v>
      </c>
      <c r="Q1209" s="59" t="s">
        <v>776</v>
      </c>
    </row>
    <row r="1210" spans="2:17" s="106" customFormat="1" ht="27" x14ac:dyDescent="0.2">
      <c r="B1210" s="66">
        <v>1500</v>
      </c>
      <c r="C1210" s="67" t="s">
        <v>767</v>
      </c>
      <c r="D1210" s="37">
        <v>530</v>
      </c>
      <c r="E1210" s="42" t="str">
        <f>IF(D1210&lt;=0,"",VLOOKUP(D1210,[10]FF!A:D,2,0))</f>
        <v>PARTICIPACIONES Ramo 28</v>
      </c>
      <c r="F1210" s="37" t="s">
        <v>770</v>
      </c>
      <c r="G1210" s="37" t="s">
        <v>461</v>
      </c>
      <c r="H1210" s="37">
        <v>214001</v>
      </c>
      <c r="I1210" s="41" t="str">
        <f>IF(H1210&lt;=0,"",VLOOKUP(H1210,[10]COG!A:H,2,0))</f>
        <v>Materiales, útiles y equipos menores de tecnologías de la información y comunicaciones</v>
      </c>
      <c r="J1210" s="39">
        <v>4140</v>
      </c>
      <c r="K1210" s="39">
        <v>5775</v>
      </c>
      <c r="L1210" s="39">
        <v>1850</v>
      </c>
      <c r="M1210" s="39">
        <v>1275</v>
      </c>
      <c r="N1210" s="108">
        <f>Tabla12[[#This Row],[TRIMESTRE  I]]+Tabla12[[#This Row],[TRIMESTRE II]]+Tabla12[[#This Row],[TRIMESTRE III]]+Tabla12[[#This Row],[TRIMESTRE IV]]</f>
        <v>13040</v>
      </c>
      <c r="O1210" s="39" t="s">
        <v>6</v>
      </c>
      <c r="P1210" s="79" t="s">
        <v>769</v>
      </c>
      <c r="Q1210" s="59" t="s">
        <v>776</v>
      </c>
    </row>
    <row r="1211" spans="2:17" s="106" customFormat="1" ht="27" x14ac:dyDescent="0.2">
      <c r="B1211" s="66">
        <v>1500</v>
      </c>
      <c r="C1211" s="67" t="s">
        <v>767</v>
      </c>
      <c r="D1211" s="37">
        <v>530</v>
      </c>
      <c r="E1211" s="42" t="str">
        <f>IF(D1211&lt;=0,"",VLOOKUP(D1211,[10]FF!A:D,2,0))</f>
        <v>PARTICIPACIONES Ramo 28</v>
      </c>
      <c r="F1211" s="37" t="s">
        <v>771</v>
      </c>
      <c r="G1211" s="37" t="s">
        <v>461</v>
      </c>
      <c r="H1211" s="37">
        <v>214001</v>
      </c>
      <c r="I1211" s="41" t="str">
        <f>IF(H1211&lt;=0,"",VLOOKUP(H1211,[10]COG!A:H,2,0))</f>
        <v>Materiales, útiles y equipos menores de tecnologías de la información y comunicaciones</v>
      </c>
      <c r="J1211" s="39">
        <v>1700</v>
      </c>
      <c r="K1211" s="39">
        <v>1235</v>
      </c>
      <c r="L1211" s="39">
        <v>1275</v>
      </c>
      <c r="M1211" s="39">
        <v>0</v>
      </c>
      <c r="N1211" s="108">
        <f>Tabla12[[#This Row],[TRIMESTRE  I]]+Tabla12[[#This Row],[TRIMESTRE II]]+Tabla12[[#This Row],[TRIMESTRE III]]+Tabla12[[#This Row],[TRIMESTRE IV]]</f>
        <v>4210</v>
      </c>
      <c r="O1211" s="39" t="s">
        <v>6</v>
      </c>
      <c r="P1211" s="79" t="s">
        <v>769</v>
      </c>
      <c r="Q1211" s="59" t="s">
        <v>776</v>
      </c>
    </row>
    <row r="1212" spans="2:17" s="106" customFormat="1" ht="27" x14ac:dyDescent="0.2">
      <c r="B1212" s="66">
        <v>1500</v>
      </c>
      <c r="C1212" s="67" t="s">
        <v>767</v>
      </c>
      <c r="D1212" s="37">
        <v>530</v>
      </c>
      <c r="E1212" s="42" t="str">
        <f>IF(D1212&lt;=0,"",VLOOKUP(D1212,[10]FF!A:D,2,0))</f>
        <v>PARTICIPACIONES Ramo 28</v>
      </c>
      <c r="F1212" s="37" t="s">
        <v>772</v>
      </c>
      <c r="G1212" s="37" t="s">
        <v>461</v>
      </c>
      <c r="H1212" s="37">
        <v>214001</v>
      </c>
      <c r="I1212" s="41" t="str">
        <f>IF(H1212&lt;=0,"",VLOOKUP(H1212,[10]COG!A:H,2,0))</f>
        <v>Materiales, útiles y equipos menores de tecnologías de la información y comunicaciones</v>
      </c>
      <c r="J1212" s="39">
        <v>1400</v>
      </c>
      <c r="K1212" s="39">
        <v>550</v>
      </c>
      <c r="L1212" s="39">
        <v>0</v>
      </c>
      <c r="M1212" s="39">
        <v>0</v>
      </c>
      <c r="N1212" s="108">
        <f>Tabla12[[#This Row],[TRIMESTRE  I]]+Tabla12[[#This Row],[TRIMESTRE II]]+Tabla12[[#This Row],[TRIMESTRE III]]+Tabla12[[#This Row],[TRIMESTRE IV]]</f>
        <v>1950</v>
      </c>
      <c r="O1212" s="39" t="s">
        <v>6</v>
      </c>
      <c r="P1212" s="79" t="s">
        <v>769</v>
      </c>
      <c r="Q1212" s="59" t="s">
        <v>776</v>
      </c>
    </row>
    <row r="1213" spans="2:17" s="106" customFormat="1" ht="27" x14ac:dyDescent="0.2">
      <c r="B1213" s="66">
        <v>1500</v>
      </c>
      <c r="C1213" s="67" t="s">
        <v>767</v>
      </c>
      <c r="D1213" s="37">
        <v>530</v>
      </c>
      <c r="E1213" s="42" t="str">
        <f>IF(D1213&lt;=0,"",VLOOKUP(D1213,[10]FF!A:D,2,0))</f>
        <v>PARTICIPACIONES Ramo 28</v>
      </c>
      <c r="F1213" s="37" t="s">
        <v>773</v>
      </c>
      <c r="G1213" s="37" t="s">
        <v>461</v>
      </c>
      <c r="H1213" s="37">
        <v>214001</v>
      </c>
      <c r="I1213" s="41" t="str">
        <f>IF(H1213&lt;=0,"",VLOOKUP(H1213,[10]COG!A:H,2,0))</f>
        <v>Materiales, útiles y equipos menores de tecnologías de la información y comunicaciones</v>
      </c>
      <c r="J1213" s="39">
        <v>3175</v>
      </c>
      <c r="K1213" s="39">
        <v>3400</v>
      </c>
      <c r="L1213" s="39">
        <v>8825</v>
      </c>
      <c r="M1213" s="39">
        <v>2100</v>
      </c>
      <c r="N1213" s="108">
        <f>Tabla12[[#This Row],[TRIMESTRE  I]]+Tabla12[[#This Row],[TRIMESTRE II]]+Tabla12[[#This Row],[TRIMESTRE III]]+Tabla12[[#This Row],[TRIMESTRE IV]]</f>
        <v>17500</v>
      </c>
      <c r="O1213" s="39" t="s">
        <v>6</v>
      </c>
      <c r="P1213" s="79" t="s">
        <v>769</v>
      </c>
      <c r="Q1213" s="59" t="s">
        <v>776</v>
      </c>
    </row>
    <row r="1214" spans="2:17" s="106" customFormat="1" ht="27" x14ac:dyDescent="0.2">
      <c r="B1214" s="66">
        <v>1500</v>
      </c>
      <c r="C1214" s="67" t="s">
        <v>767</v>
      </c>
      <c r="D1214" s="37">
        <v>530</v>
      </c>
      <c r="E1214" s="42" t="str">
        <f>IF(D1214&lt;=0,"",VLOOKUP(D1214,[10]FF!A:D,2,0))</f>
        <v>PARTICIPACIONES Ramo 28</v>
      </c>
      <c r="F1214" s="37" t="s">
        <v>774</v>
      </c>
      <c r="G1214" s="37" t="s">
        <v>461</v>
      </c>
      <c r="H1214" s="37">
        <v>214001</v>
      </c>
      <c r="I1214" s="41" t="str">
        <f>IF(H1214&lt;=0,"",VLOOKUP(H1214,[10]COG!A:H,2,0))</f>
        <v>Materiales, útiles y equipos menores de tecnologías de la información y comunicaciones</v>
      </c>
      <c r="J1214" s="39">
        <v>2949</v>
      </c>
      <c r="K1214" s="39">
        <v>3369</v>
      </c>
      <c r="L1214" s="39">
        <v>5898</v>
      </c>
      <c r="M1214" s="39">
        <v>701</v>
      </c>
      <c r="N1214" s="108">
        <f>Tabla12[[#This Row],[TRIMESTRE  I]]+Tabla12[[#This Row],[TRIMESTRE II]]+Tabla12[[#This Row],[TRIMESTRE III]]+Tabla12[[#This Row],[TRIMESTRE IV]]</f>
        <v>12917</v>
      </c>
      <c r="O1214" s="39" t="s">
        <v>6</v>
      </c>
      <c r="P1214" s="79" t="s">
        <v>769</v>
      </c>
      <c r="Q1214" s="59" t="s">
        <v>776</v>
      </c>
    </row>
    <row r="1215" spans="2:17" s="106" customFormat="1" ht="27" x14ac:dyDescent="0.2">
      <c r="B1215" s="66">
        <v>1500</v>
      </c>
      <c r="C1215" s="67" t="s">
        <v>767</v>
      </c>
      <c r="D1215" s="37">
        <v>530</v>
      </c>
      <c r="E1215" s="42" t="str">
        <f>IF(D1215&lt;=0,"",VLOOKUP(D1215,[10]FF!A:D,2,0))</f>
        <v>PARTICIPACIONES Ramo 28</v>
      </c>
      <c r="F1215" s="37" t="s">
        <v>775</v>
      </c>
      <c r="G1215" s="37" t="s">
        <v>461</v>
      </c>
      <c r="H1215" s="37">
        <v>214001</v>
      </c>
      <c r="I1215" s="41" t="str">
        <f>IF(H1215&lt;=0,"",VLOOKUP(H1215,[10]COG!A:H,2,0))</f>
        <v>Materiales, útiles y equipos menores de tecnologías de la información y comunicaciones</v>
      </c>
      <c r="J1215" s="39">
        <v>2000</v>
      </c>
      <c r="K1215" s="39">
        <v>0</v>
      </c>
      <c r="L1215" s="39">
        <v>0</v>
      </c>
      <c r="M1215" s="39">
        <v>0</v>
      </c>
      <c r="N1215" s="108">
        <f>Tabla12[[#This Row],[TRIMESTRE  I]]+Tabla12[[#This Row],[TRIMESTRE II]]+Tabla12[[#This Row],[TRIMESTRE III]]+Tabla12[[#This Row],[TRIMESTRE IV]]</f>
        <v>2000</v>
      </c>
      <c r="O1215" s="39" t="s">
        <v>6</v>
      </c>
      <c r="P1215" s="79" t="s">
        <v>769</v>
      </c>
      <c r="Q1215" s="59" t="s">
        <v>776</v>
      </c>
    </row>
    <row r="1216" spans="2:17" s="106" customFormat="1" ht="22.5" x14ac:dyDescent="0.2">
      <c r="B1216" s="66">
        <v>1500</v>
      </c>
      <c r="C1216" s="67" t="s">
        <v>767</v>
      </c>
      <c r="D1216" s="37">
        <v>530</v>
      </c>
      <c r="E1216" s="42" t="str">
        <f>IF(D1216&lt;=0,"",VLOOKUP(D1216,[10]FF!A:D,2,0))</f>
        <v>PARTICIPACIONES Ramo 28</v>
      </c>
      <c r="F1216" s="37" t="s">
        <v>768</v>
      </c>
      <c r="G1216" s="37" t="s">
        <v>461</v>
      </c>
      <c r="H1216" s="37">
        <v>215001</v>
      </c>
      <c r="I1216" s="41" t="str">
        <f>IF(H1216&lt;=0,"",VLOOKUP(H1216,[10]COG!A:H,2,0))</f>
        <v>Material didáctico</v>
      </c>
      <c r="J1216" s="39">
        <v>60901</v>
      </c>
      <c r="K1216" s="39">
        <v>401</v>
      </c>
      <c r="L1216" s="39">
        <v>803</v>
      </c>
      <c r="M1216" s="39">
        <v>901</v>
      </c>
      <c r="N1216" s="108">
        <f>Tabla12[[#This Row],[TRIMESTRE  I]]+Tabla12[[#This Row],[TRIMESTRE II]]+Tabla12[[#This Row],[TRIMESTRE III]]+Tabla12[[#This Row],[TRIMESTRE IV]]</f>
        <v>63006</v>
      </c>
      <c r="O1216" s="39" t="s">
        <v>6</v>
      </c>
      <c r="P1216" s="79" t="s">
        <v>769</v>
      </c>
      <c r="Q1216" s="59" t="s">
        <v>776</v>
      </c>
    </row>
    <row r="1217" spans="2:17" s="106" customFormat="1" ht="22.5" x14ac:dyDescent="0.2">
      <c r="B1217" s="66">
        <v>1500</v>
      </c>
      <c r="C1217" s="67" t="s">
        <v>767</v>
      </c>
      <c r="D1217" s="37">
        <v>530</v>
      </c>
      <c r="E1217" s="42" t="str">
        <f>IF(D1217&lt;=0,"",VLOOKUP(D1217,[10]FF!A:D,2,0))</f>
        <v>PARTICIPACIONES Ramo 28</v>
      </c>
      <c r="F1217" s="37" t="s">
        <v>770</v>
      </c>
      <c r="G1217" s="37" t="s">
        <v>461</v>
      </c>
      <c r="H1217" s="37">
        <v>215001</v>
      </c>
      <c r="I1217" s="41" t="str">
        <f>IF(H1217&lt;=0,"",VLOOKUP(H1217,[10]COG!A:H,2,0))</f>
        <v>Material didáctico</v>
      </c>
      <c r="J1217" s="39">
        <v>340</v>
      </c>
      <c r="K1217" s="39">
        <v>500</v>
      </c>
      <c r="L1217" s="39">
        <v>420</v>
      </c>
      <c r="M1217" s="39">
        <v>340</v>
      </c>
      <c r="N1217" s="108">
        <f>Tabla12[[#This Row],[TRIMESTRE  I]]+Tabla12[[#This Row],[TRIMESTRE II]]+Tabla12[[#This Row],[TRIMESTRE III]]+Tabla12[[#This Row],[TRIMESTRE IV]]</f>
        <v>1600</v>
      </c>
      <c r="O1217" s="39" t="s">
        <v>6</v>
      </c>
      <c r="P1217" s="79" t="s">
        <v>769</v>
      </c>
      <c r="Q1217" s="59" t="s">
        <v>776</v>
      </c>
    </row>
    <row r="1218" spans="2:17" s="106" customFormat="1" ht="22.5" x14ac:dyDescent="0.2">
      <c r="B1218" s="66">
        <v>1500</v>
      </c>
      <c r="C1218" s="67" t="s">
        <v>767</v>
      </c>
      <c r="D1218" s="37">
        <v>530</v>
      </c>
      <c r="E1218" s="42" t="str">
        <f>IF(D1218&lt;=0,"",VLOOKUP(D1218,[10]FF!A:D,2,0))</f>
        <v>PARTICIPACIONES Ramo 28</v>
      </c>
      <c r="F1218" s="37" t="s">
        <v>774</v>
      </c>
      <c r="G1218" s="37" t="s">
        <v>461</v>
      </c>
      <c r="H1218" s="37">
        <v>215001</v>
      </c>
      <c r="I1218" s="41" t="str">
        <f>IF(H1218&lt;=0,"",VLOOKUP(H1218,[10]COG!A:H,2,0))</f>
        <v>Material didáctico</v>
      </c>
      <c r="J1218" s="39">
        <v>898</v>
      </c>
      <c r="K1218" s="39">
        <v>448</v>
      </c>
      <c r="L1218" s="39">
        <v>973</v>
      </c>
      <c r="M1218" s="39">
        <v>1347</v>
      </c>
      <c r="N1218" s="108">
        <f>Tabla12[[#This Row],[TRIMESTRE  I]]+Tabla12[[#This Row],[TRIMESTRE II]]+Tabla12[[#This Row],[TRIMESTRE III]]+Tabla12[[#This Row],[TRIMESTRE IV]]</f>
        <v>3666</v>
      </c>
      <c r="O1218" s="39" t="s">
        <v>6</v>
      </c>
      <c r="P1218" s="79" t="s">
        <v>769</v>
      </c>
      <c r="Q1218" s="59" t="s">
        <v>776</v>
      </c>
    </row>
    <row r="1219" spans="2:17" s="106" customFormat="1" ht="24.75" customHeight="1" x14ac:dyDescent="0.2">
      <c r="B1219" s="66">
        <v>1500</v>
      </c>
      <c r="C1219" s="67" t="s">
        <v>767</v>
      </c>
      <c r="D1219" s="37">
        <v>530</v>
      </c>
      <c r="E1219" s="43" t="str">
        <f>IF(D1219&lt;=0,"",VLOOKUP(D1219,[10]FF!A:D,2,0))</f>
        <v>PARTICIPACIONES Ramo 28</v>
      </c>
      <c r="F1219" s="37" t="s">
        <v>773</v>
      </c>
      <c r="G1219" s="37" t="s">
        <v>461</v>
      </c>
      <c r="H1219" s="37">
        <v>215003</v>
      </c>
      <c r="I1219" s="44" t="str">
        <f>IF(H1219&lt;=0,"",VLOOKUP(H1219,[10]COG!A:H,2,0))</f>
        <v>Material impreso e información digital</v>
      </c>
      <c r="J1219" s="50">
        <v>0</v>
      </c>
      <c r="K1219" s="50">
        <v>500</v>
      </c>
      <c r="L1219" s="50">
        <v>6425</v>
      </c>
      <c r="M1219" s="50">
        <v>0</v>
      </c>
      <c r="N1219" s="108">
        <f>Tabla12[[#This Row],[TRIMESTRE  I]]+Tabla12[[#This Row],[TRIMESTRE II]]+Tabla12[[#This Row],[TRIMESTRE III]]+Tabla12[[#This Row],[TRIMESTRE IV]]</f>
        <v>6925</v>
      </c>
      <c r="O1219" s="39" t="s">
        <v>6</v>
      </c>
      <c r="P1219" s="79" t="s">
        <v>769</v>
      </c>
      <c r="Q1219" s="59" t="s">
        <v>776</v>
      </c>
    </row>
    <row r="1220" spans="2:17" s="106" customFormat="1" ht="24.75" customHeight="1" x14ac:dyDescent="0.2">
      <c r="B1220" s="66">
        <v>1500</v>
      </c>
      <c r="C1220" s="67" t="s">
        <v>767</v>
      </c>
      <c r="D1220" s="37">
        <v>530</v>
      </c>
      <c r="E1220" s="42" t="str">
        <f>IF(D1220&lt;=0,"",VLOOKUP(D1220,[10]FF!A:D,2,0))</f>
        <v>PARTICIPACIONES Ramo 28</v>
      </c>
      <c r="F1220" s="37" t="s">
        <v>768</v>
      </c>
      <c r="G1220" s="37" t="s">
        <v>461</v>
      </c>
      <c r="H1220" s="37">
        <v>216001</v>
      </c>
      <c r="I1220" s="41" t="str">
        <f>IF(H1220&lt;=0,"",VLOOKUP(H1220,[10]COG!A:H,2,0))</f>
        <v>Material de limpieza</v>
      </c>
      <c r="J1220" s="39">
        <v>2400</v>
      </c>
      <c r="K1220" s="39">
        <v>4100</v>
      </c>
      <c r="L1220" s="39">
        <v>7400</v>
      </c>
      <c r="M1220" s="39">
        <v>5500</v>
      </c>
      <c r="N1220" s="108">
        <f>Tabla12[[#This Row],[TRIMESTRE  I]]+Tabla12[[#This Row],[TRIMESTRE II]]+Tabla12[[#This Row],[TRIMESTRE III]]+Tabla12[[#This Row],[TRIMESTRE IV]]</f>
        <v>19400</v>
      </c>
      <c r="O1220" s="39" t="s">
        <v>5</v>
      </c>
      <c r="P1220" s="79" t="s">
        <v>769</v>
      </c>
      <c r="Q1220" s="59" t="s">
        <v>581</v>
      </c>
    </row>
    <row r="1221" spans="2:17" s="106" customFormat="1" ht="24.75" customHeight="1" x14ac:dyDescent="0.2">
      <c r="B1221" s="66">
        <v>1500</v>
      </c>
      <c r="C1221" s="67" t="s">
        <v>767</v>
      </c>
      <c r="D1221" s="37">
        <v>530</v>
      </c>
      <c r="E1221" s="42" t="str">
        <f>IF(D1221&lt;=0,"",VLOOKUP(D1221,[10]FF!A:D,2,0))</f>
        <v>PARTICIPACIONES Ramo 28</v>
      </c>
      <c r="F1221" s="37" t="s">
        <v>770</v>
      </c>
      <c r="G1221" s="37" t="s">
        <v>461</v>
      </c>
      <c r="H1221" s="37">
        <v>216001</v>
      </c>
      <c r="I1221" s="41" t="str">
        <f>IF(H1221&lt;=0,"",VLOOKUP(H1221,[10]COG!A:H,2,0))</f>
        <v>Material de limpieza</v>
      </c>
      <c r="J1221" s="39">
        <v>2600</v>
      </c>
      <c r="K1221" s="39">
        <v>3400</v>
      </c>
      <c r="L1221" s="39">
        <v>5600</v>
      </c>
      <c r="M1221" s="39">
        <v>5000</v>
      </c>
      <c r="N1221" s="108">
        <f>Tabla12[[#This Row],[TRIMESTRE  I]]+Tabla12[[#This Row],[TRIMESTRE II]]+Tabla12[[#This Row],[TRIMESTRE III]]+Tabla12[[#This Row],[TRIMESTRE IV]]</f>
        <v>16600</v>
      </c>
      <c r="O1221" s="39" t="s">
        <v>5</v>
      </c>
      <c r="P1221" s="79" t="s">
        <v>769</v>
      </c>
      <c r="Q1221" s="59" t="s">
        <v>581</v>
      </c>
    </row>
    <row r="1222" spans="2:17" s="106" customFormat="1" ht="22.5" x14ac:dyDescent="0.2">
      <c r="B1222" s="66">
        <v>1500</v>
      </c>
      <c r="C1222" s="67" t="s">
        <v>767</v>
      </c>
      <c r="D1222" s="37">
        <v>530</v>
      </c>
      <c r="E1222" s="42" t="str">
        <f>IF(D1222&lt;=0,"",VLOOKUP(D1222,[10]FF!A:D,2,0))</f>
        <v>PARTICIPACIONES Ramo 28</v>
      </c>
      <c r="F1222" s="37" t="s">
        <v>771</v>
      </c>
      <c r="G1222" s="37" t="s">
        <v>461</v>
      </c>
      <c r="H1222" s="37">
        <v>216001</v>
      </c>
      <c r="I1222" s="41" t="str">
        <f>IF(H1222&lt;=0,"",VLOOKUP(H1222,[10]COG!A:H,2,0))</f>
        <v>Material de limpieza</v>
      </c>
      <c r="J1222" s="39">
        <v>2400</v>
      </c>
      <c r="K1222" s="39">
        <v>3100</v>
      </c>
      <c r="L1222" s="39">
        <v>5400</v>
      </c>
      <c r="M1222" s="39">
        <v>4500</v>
      </c>
      <c r="N1222" s="108">
        <f>Tabla12[[#This Row],[TRIMESTRE  I]]+Tabla12[[#This Row],[TRIMESTRE II]]+Tabla12[[#This Row],[TRIMESTRE III]]+Tabla12[[#This Row],[TRIMESTRE IV]]</f>
        <v>15400</v>
      </c>
      <c r="O1222" s="39" t="s">
        <v>5</v>
      </c>
      <c r="P1222" s="79" t="s">
        <v>769</v>
      </c>
      <c r="Q1222" s="59" t="s">
        <v>581</v>
      </c>
    </row>
    <row r="1223" spans="2:17" s="106" customFormat="1" ht="24.75" customHeight="1" x14ac:dyDescent="0.2">
      <c r="B1223" s="66">
        <v>1500</v>
      </c>
      <c r="C1223" s="67" t="s">
        <v>767</v>
      </c>
      <c r="D1223" s="37">
        <v>530</v>
      </c>
      <c r="E1223" s="42" t="str">
        <f>IF(D1223&lt;=0,"",VLOOKUP(D1223,[10]FF!A:D,2,0))</f>
        <v>PARTICIPACIONES Ramo 28</v>
      </c>
      <c r="F1223" s="37" t="s">
        <v>772</v>
      </c>
      <c r="G1223" s="37" t="s">
        <v>461</v>
      </c>
      <c r="H1223" s="37">
        <v>216001</v>
      </c>
      <c r="I1223" s="41" t="str">
        <f>IF(H1223&lt;=0,"",VLOOKUP(H1223,[10]COG!A:H,2,0))</f>
        <v>Material de limpieza</v>
      </c>
      <c r="J1223" s="39">
        <v>2400</v>
      </c>
      <c r="K1223" s="39">
        <v>3100</v>
      </c>
      <c r="L1223" s="39">
        <v>9400</v>
      </c>
      <c r="M1223" s="39">
        <v>4500</v>
      </c>
      <c r="N1223" s="108">
        <f>Tabla12[[#This Row],[TRIMESTRE  I]]+Tabla12[[#This Row],[TRIMESTRE II]]+Tabla12[[#This Row],[TRIMESTRE III]]+Tabla12[[#This Row],[TRIMESTRE IV]]</f>
        <v>19400</v>
      </c>
      <c r="O1223" s="39" t="s">
        <v>5</v>
      </c>
      <c r="P1223" s="79" t="s">
        <v>769</v>
      </c>
      <c r="Q1223" s="59" t="s">
        <v>581</v>
      </c>
    </row>
    <row r="1224" spans="2:17" s="106" customFormat="1" ht="22.5" x14ac:dyDescent="0.2">
      <c r="B1224" s="66">
        <v>1500</v>
      </c>
      <c r="C1224" s="67" t="s">
        <v>767</v>
      </c>
      <c r="D1224" s="37">
        <v>530</v>
      </c>
      <c r="E1224" s="42" t="str">
        <f>IF(D1224&lt;=0,"",VLOOKUP(D1224,[10]FF!A:D,2,0))</f>
        <v>PARTICIPACIONES Ramo 28</v>
      </c>
      <c r="F1224" s="37" t="s">
        <v>773</v>
      </c>
      <c r="G1224" s="37" t="s">
        <v>461</v>
      </c>
      <c r="H1224" s="37">
        <v>216001</v>
      </c>
      <c r="I1224" s="41" t="str">
        <f>IF(H1224&lt;=0,"",VLOOKUP(H1224,[10]COG!A:H,2,0))</f>
        <v>Material de limpieza</v>
      </c>
      <c r="J1224" s="39">
        <v>4400</v>
      </c>
      <c r="K1224" s="39">
        <v>3100</v>
      </c>
      <c r="L1224" s="39">
        <v>6400</v>
      </c>
      <c r="M1224" s="39">
        <v>4500</v>
      </c>
      <c r="N1224" s="108">
        <f>Tabla12[[#This Row],[TRIMESTRE  I]]+Tabla12[[#This Row],[TRIMESTRE II]]+Tabla12[[#This Row],[TRIMESTRE III]]+Tabla12[[#This Row],[TRIMESTRE IV]]</f>
        <v>18400</v>
      </c>
      <c r="O1224" s="39" t="s">
        <v>5</v>
      </c>
      <c r="P1224" s="79" t="s">
        <v>769</v>
      </c>
      <c r="Q1224" s="59" t="s">
        <v>581</v>
      </c>
    </row>
    <row r="1225" spans="2:17" s="106" customFormat="1" ht="22.5" x14ac:dyDescent="0.2">
      <c r="B1225" s="66">
        <v>1500</v>
      </c>
      <c r="C1225" s="67" t="s">
        <v>767</v>
      </c>
      <c r="D1225" s="37">
        <v>530</v>
      </c>
      <c r="E1225" s="42" t="str">
        <f>IF(D1225&lt;=0,"",VLOOKUP(D1225,[10]FF!A:D,2,0))</f>
        <v>PARTICIPACIONES Ramo 28</v>
      </c>
      <c r="F1225" s="37" t="s">
        <v>774</v>
      </c>
      <c r="G1225" s="37" t="s">
        <v>461</v>
      </c>
      <c r="H1225" s="37">
        <v>216001</v>
      </c>
      <c r="I1225" s="41" t="str">
        <f>IF(H1225&lt;=0,"",VLOOKUP(H1225,[10]COG!A:H,2,0))</f>
        <v>Material de limpieza</v>
      </c>
      <c r="J1225" s="39">
        <v>4400</v>
      </c>
      <c r="K1225" s="39">
        <v>3100</v>
      </c>
      <c r="L1225" s="39">
        <v>6400</v>
      </c>
      <c r="M1225" s="39">
        <v>4500</v>
      </c>
      <c r="N1225" s="108">
        <f>Tabla12[[#This Row],[TRIMESTRE  I]]+Tabla12[[#This Row],[TRIMESTRE II]]+Tabla12[[#This Row],[TRIMESTRE III]]+Tabla12[[#This Row],[TRIMESTRE IV]]</f>
        <v>18400</v>
      </c>
      <c r="O1225" s="39" t="s">
        <v>5</v>
      </c>
      <c r="P1225" s="79" t="s">
        <v>769</v>
      </c>
      <c r="Q1225" s="59" t="s">
        <v>581</v>
      </c>
    </row>
    <row r="1226" spans="2:17" s="106" customFormat="1" ht="22.5" x14ac:dyDescent="0.2">
      <c r="B1226" s="66">
        <v>1500</v>
      </c>
      <c r="C1226" s="67" t="s">
        <v>767</v>
      </c>
      <c r="D1226" s="37">
        <v>530</v>
      </c>
      <c r="E1226" s="42" t="str">
        <f>IF(D1226&lt;=0,"",VLOOKUP(D1226,[10]FF!A:D,2,0))</f>
        <v>PARTICIPACIONES Ramo 28</v>
      </c>
      <c r="F1226" s="37" t="s">
        <v>775</v>
      </c>
      <c r="G1226" s="37" t="s">
        <v>461</v>
      </c>
      <c r="H1226" s="37">
        <v>216001</v>
      </c>
      <c r="I1226" s="41" t="str">
        <f>IF(H1226&lt;=0,"",VLOOKUP(H1226,[10]COG!A:H,2,0))</f>
        <v>Material de limpieza</v>
      </c>
      <c r="J1226" s="39">
        <v>3400</v>
      </c>
      <c r="K1226" s="39">
        <v>4100</v>
      </c>
      <c r="L1226" s="39">
        <v>5400</v>
      </c>
      <c r="M1226" s="39">
        <v>4500</v>
      </c>
      <c r="N1226" s="108">
        <f>Tabla12[[#This Row],[TRIMESTRE  I]]+Tabla12[[#This Row],[TRIMESTRE II]]+Tabla12[[#This Row],[TRIMESTRE III]]+Tabla12[[#This Row],[TRIMESTRE IV]]</f>
        <v>17400</v>
      </c>
      <c r="O1226" s="39" t="s">
        <v>5</v>
      </c>
      <c r="P1226" s="79" t="s">
        <v>769</v>
      </c>
      <c r="Q1226" s="59" t="s">
        <v>581</v>
      </c>
    </row>
    <row r="1227" spans="2:17" s="106" customFormat="1" ht="22.5" x14ac:dyDescent="0.2">
      <c r="B1227" s="66">
        <v>1500</v>
      </c>
      <c r="C1227" s="67" t="s">
        <v>767</v>
      </c>
      <c r="D1227" s="37">
        <v>530</v>
      </c>
      <c r="E1227" s="42" t="str">
        <f>IF(D1227&lt;=0,"",VLOOKUP(D1227,[10]FF!A:D,2,0))</f>
        <v>PARTICIPACIONES Ramo 28</v>
      </c>
      <c r="F1227" s="37" t="s">
        <v>768</v>
      </c>
      <c r="G1227" s="37" t="s">
        <v>461</v>
      </c>
      <c r="H1227" s="37">
        <v>221001</v>
      </c>
      <c r="I1227" s="41" t="str">
        <f>IF(H1227&lt;=0,"",VLOOKUP(H1227,[10]COG!A:H,2,0))</f>
        <v>Alimentación de personas</v>
      </c>
      <c r="J1227" s="39">
        <v>6124</v>
      </c>
      <c r="K1227" s="39">
        <v>4444</v>
      </c>
      <c r="L1227" s="39">
        <v>7248</v>
      </c>
      <c r="M1227" s="39">
        <v>6832</v>
      </c>
      <c r="N1227" s="108">
        <f>Tabla12[[#This Row],[TRIMESTRE  I]]+Tabla12[[#This Row],[TRIMESTRE II]]+Tabla12[[#This Row],[TRIMESTRE III]]+Tabla12[[#This Row],[TRIMESTRE IV]]</f>
        <v>24648</v>
      </c>
      <c r="O1227" s="39" t="s">
        <v>6</v>
      </c>
      <c r="P1227" s="79" t="s">
        <v>769</v>
      </c>
      <c r="Q1227" s="59" t="s">
        <v>776</v>
      </c>
    </row>
    <row r="1228" spans="2:17" s="106" customFormat="1" ht="22.5" x14ac:dyDescent="0.2">
      <c r="B1228" s="66">
        <v>1500</v>
      </c>
      <c r="C1228" s="67" t="s">
        <v>767</v>
      </c>
      <c r="D1228" s="37">
        <v>530</v>
      </c>
      <c r="E1228" s="43" t="str">
        <f>IF(D1228&lt;=0,"",VLOOKUP(D1228,[10]FF!A:D,2,0))</f>
        <v>PARTICIPACIONES Ramo 28</v>
      </c>
      <c r="F1228" s="37" t="s">
        <v>774</v>
      </c>
      <c r="G1228" s="37" t="s">
        <v>461</v>
      </c>
      <c r="H1228" s="37">
        <v>221001</v>
      </c>
      <c r="I1228" s="44" t="str">
        <f>IF(H1228&lt;=0,"",VLOOKUP(H1228,[10]COG!A:H,2,0))</f>
        <v>Alimentación de personas</v>
      </c>
      <c r="J1228" s="50">
        <v>2376</v>
      </c>
      <c r="K1228" s="50">
        <v>3432</v>
      </c>
      <c r="L1228" s="50">
        <v>6128</v>
      </c>
      <c r="M1228" s="50">
        <v>4280</v>
      </c>
      <c r="N1228" s="108">
        <f>Tabla12[[#This Row],[TRIMESTRE  I]]+Tabla12[[#This Row],[TRIMESTRE II]]+Tabla12[[#This Row],[TRIMESTRE III]]+Tabla12[[#This Row],[TRIMESTRE IV]]</f>
        <v>16216</v>
      </c>
      <c r="O1228" s="39" t="s">
        <v>6</v>
      </c>
      <c r="P1228" s="79" t="s">
        <v>769</v>
      </c>
      <c r="Q1228" s="59" t="s">
        <v>776</v>
      </c>
    </row>
    <row r="1229" spans="2:17" s="106" customFormat="1" ht="22.5" x14ac:dyDescent="0.2">
      <c r="B1229" s="66">
        <v>1500</v>
      </c>
      <c r="C1229" s="67" t="s">
        <v>767</v>
      </c>
      <c r="D1229" s="37">
        <v>530</v>
      </c>
      <c r="E1229" s="42" t="str">
        <f>IF(D1229&lt;=0,"",VLOOKUP(D1229,[10]FF!A:D,2,0))</f>
        <v>PARTICIPACIONES Ramo 28</v>
      </c>
      <c r="F1229" s="37" t="s">
        <v>775</v>
      </c>
      <c r="G1229" s="37" t="s">
        <v>461</v>
      </c>
      <c r="H1229" s="37">
        <v>221001</v>
      </c>
      <c r="I1229" s="41" t="str">
        <f>IF(H1229&lt;=0,"",VLOOKUP(H1229,[10]COG!A:H,2,0))</f>
        <v>Alimentación de personas</v>
      </c>
      <c r="J1229" s="39">
        <v>4500</v>
      </c>
      <c r="K1229" s="39">
        <v>1000</v>
      </c>
      <c r="L1229" s="39">
        <v>0</v>
      </c>
      <c r="M1229" s="39">
        <v>3500</v>
      </c>
      <c r="N1229" s="108">
        <f>Tabla12[[#This Row],[TRIMESTRE  I]]+Tabla12[[#This Row],[TRIMESTRE II]]+Tabla12[[#This Row],[TRIMESTRE III]]+Tabla12[[#This Row],[TRIMESTRE IV]]</f>
        <v>9000</v>
      </c>
      <c r="O1229" s="39" t="s">
        <v>6</v>
      </c>
      <c r="P1229" s="79" t="s">
        <v>769</v>
      </c>
      <c r="Q1229" s="59" t="s">
        <v>776</v>
      </c>
    </row>
    <row r="1230" spans="2:17" s="106" customFormat="1" ht="22.5" x14ac:dyDescent="0.2">
      <c r="B1230" s="66">
        <v>1500</v>
      </c>
      <c r="C1230" s="67" t="s">
        <v>767</v>
      </c>
      <c r="D1230" s="37">
        <v>530</v>
      </c>
      <c r="E1230" s="42" t="str">
        <f>IF(D1230&lt;=0,"",VLOOKUP(D1230,[10]FF!A:D,2,0))</f>
        <v>PARTICIPACIONES Ramo 28</v>
      </c>
      <c r="F1230" s="37" t="s">
        <v>768</v>
      </c>
      <c r="G1230" s="37" t="s">
        <v>461</v>
      </c>
      <c r="H1230" s="37">
        <v>223001</v>
      </c>
      <c r="I1230" s="41" t="str">
        <f>IF(H1230&lt;=0,"",VLOOKUP(H1230,[10]COG!A:H,2,0))</f>
        <v>Utensilios para el servicio de alimentación</v>
      </c>
      <c r="J1230" s="39">
        <v>500</v>
      </c>
      <c r="K1230" s="39">
        <v>700</v>
      </c>
      <c r="L1230" s="39">
        <v>260</v>
      </c>
      <c r="M1230" s="39">
        <v>301</v>
      </c>
      <c r="N1230" s="108">
        <f>Tabla12[[#This Row],[TRIMESTRE  I]]+Tabla12[[#This Row],[TRIMESTRE II]]+Tabla12[[#This Row],[TRIMESTRE III]]+Tabla12[[#This Row],[TRIMESTRE IV]]</f>
        <v>1761</v>
      </c>
      <c r="O1230" s="39" t="s">
        <v>6</v>
      </c>
      <c r="P1230" s="79" t="s">
        <v>769</v>
      </c>
      <c r="Q1230" s="59" t="s">
        <v>776</v>
      </c>
    </row>
    <row r="1231" spans="2:17" s="106" customFormat="1" ht="22.5" x14ac:dyDescent="0.2">
      <c r="B1231" s="66">
        <v>1500</v>
      </c>
      <c r="C1231" s="67" t="s">
        <v>767</v>
      </c>
      <c r="D1231" s="37">
        <v>530</v>
      </c>
      <c r="E1231" s="42" t="str">
        <f>IF(D1231&lt;=0,"",VLOOKUP(D1231,[10]FF!A:D,2,0))</f>
        <v>PARTICIPACIONES Ramo 28</v>
      </c>
      <c r="F1231" s="37" t="s">
        <v>770</v>
      </c>
      <c r="G1231" s="37" t="s">
        <v>461</v>
      </c>
      <c r="H1231" s="37">
        <v>223001</v>
      </c>
      <c r="I1231" s="41" t="str">
        <f>IF(H1231&lt;=0,"",VLOOKUP(H1231,[10]COG!A:H,2,0))</f>
        <v>Utensilios para el servicio de alimentación</v>
      </c>
      <c r="J1231" s="39">
        <v>6000</v>
      </c>
      <c r="K1231" s="39">
        <v>1170</v>
      </c>
      <c r="L1231" s="39">
        <v>540</v>
      </c>
      <c r="M1231" s="39">
        <v>595</v>
      </c>
      <c r="N1231" s="108">
        <f>Tabla12[[#This Row],[TRIMESTRE  I]]+Tabla12[[#This Row],[TRIMESTRE II]]+Tabla12[[#This Row],[TRIMESTRE III]]+Tabla12[[#This Row],[TRIMESTRE IV]]</f>
        <v>8305</v>
      </c>
      <c r="O1231" s="39" t="s">
        <v>6</v>
      </c>
      <c r="P1231" s="79" t="s">
        <v>769</v>
      </c>
      <c r="Q1231" s="59" t="s">
        <v>776</v>
      </c>
    </row>
    <row r="1232" spans="2:17" s="106" customFormat="1" ht="22.5" x14ac:dyDescent="0.2">
      <c r="B1232" s="66">
        <v>1500</v>
      </c>
      <c r="C1232" s="67" t="s">
        <v>767</v>
      </c>
      <c r="D1232" s="37">
        <v>530</v>
      </c>
      <c r="E1232" s="42" t="str">
        <f>IF(D1232&lt;=0,"",VLOOKUP(D1232,[10]FF!A:D,2,0))</f>
        <v>PARTICIPACIONES Ramo 28</v>
      </c>
      <c r="F1232" s="37" t="s">
        <v>774</v>
      </c>
      <c r="G1232" s="37" t="s">
        <v>461</v>
      </c>
      <c r="H1232" s="37">
        <v>223001</v>
      </c>
      <c r="I1232" s="41" t="str">
        <f>IF(H1232&lt;=0,"",VLOOKUP(H1232,[10]COG!A:H,2,0))</f>
        <v>Utensilios para el servicio de alimentación</v>
      </c>
      <c r="J1232" s="39">
        <v>135</v>
      </c>
      <c r="K1232" s="39">
        <v>180</v>
      </c>
      <c r="L1232" s="39">
        <v>280</v>
      </c>
      <c r="M1232" s="39">
        <v>314</v>
      </c>
      <c r="N1232" s="108">
        <f>Tabla12[[#This Row],[TRIMESTRE  I]]+Tabla12[[#This Row],[TRIMESTRE II]]+Tabla12[[#This Row],[TRIMESTRE III]]+Tabla12[[#This Row],[TRIMESTRE IV]]</f>
        <v>909</v>
      </c>
      <c r="O1232" s="39" t="s">
        <v>6</v>
      </c>
      <c r="P1232" s="79" t="s">
        <v>769</v>
      </c>
      <c r="Q1232" s="59" t="s">
        <v>776</v>
      </c>
    </row>
    <row r="1233" spans="2:17" s="106" customFormat="1" ht="22.5" x14ac:dyDescent="0.2">
      <c r="B1233" s="66">
        <v>1500</v>
      </c>
      <c r="C1233" s="67" t="s">
        <v>767</v>
      </c>
      <c r="D1233" s="37">
        <v>530</v>
      </c>
      <c r="E1233" s="42" t="str">
        <f>IF(D1233&lt;=0,"",VLOOKUP(D1233,[10]FF!A:D,2,0))</f>
        <v>PARTICIPACIONES Ramo 28</v>
      </c>
      <c r="F1233" s="37" t="s">
        <v>768</v>
      </c>
      <c r="G1233" s="37" t="s">
        <v>461</v>
      </c>
      <c r="H1233" s="37">
        <v>245001</v>
      </c>
      <c r="I1233" s="41" t="str">
        <f>IF(H1233&lt;=0,"",VLOOKUP(H1233,[10]COG!A:H,2,0))</f>
        <v>Vidrio y productos de vidrio</v>
      </c>
      <c r="J1233" s="39">
        <v>500</v>
      </c>
      <c r="K1233" s="39">
        <v>200</v>
      </c>
      <c r="L1233" s="39">
        <v>260</v>
      </c>
      <c r="M1233" s="39">
        <v>301</v>
      </c>
      <c r="N1233" s="108">
        <f>Tabla12[[#This Row],[TRIMESTRE  I]]+Tabla12[[#This Row],[TRIMESTRE II]]+Tabla12[[#This Row],[TRIMESTRE III]]+Tabla12[[#This Row],[TRIMESTRE IV]]</f>
        <v>1261</v>
      </c>
      <c r="O1233" s="39" t="s">
        <v>6</v>
      </c>
      <c r="P1233" s="79" t="s">
        <v>769</v>
      </c>
      <c r="Q1233" s="59" t="s">
        <v>776</v>
      </c>
    </row>
    <row r="1234" spans="2:17" s="106" customFormat="1" ht="22.5" x14ac:dyDescent="0.2">
      <c r="B1234" s="66">
        <v>1500</v>
      </c>
      <c r="C1234" s="67" t="s">
        <v>767</v>
      </c>
      <c r="D1234" s="37">
        <v>530</v>
      </c>
      <c r="E1234" s="42" t="str">
        <f>IF(D1234&lt;=0,"",VLOOKUP(D1234,[10]FF!A:D,2,0))</f>
        <v>PARTICIPACIONES Ramo 28</v>
      </c>
      <c r="F1234" s="37" t="s">
        <v>774</v>
      </c>
      <c r="G1234" s="37" t="s">
        <v>461</v>
      </c>
      <c r="H1234" s="37">
        <v>245001</v>
      </c>
      <c r="I1234" s="41" t="str">
        <f>IF(H1234&lt;=0,"",VLOOKUP(H1234,[10]COG!A:H,2,0))</f>
        <v>Vidrio y productos de vidrio</v>
      </c>
      <c r="J1234" s="39">
        <v>135</v>
      </c>
      <c r="K1234" s="39">
        <v>180</v>
      </c>
      <c r="L1234" s="39">
        <v>280</v>
      </c>
      <c r="M1234" s="39">
        <v>314</v>
      </c>
      <c r="N1234" s="108">
        <f>Tabla12[[#This Row],[TRIMESTRE  I]]+Tabla12[[#This Row],[TRIMESTRE II]]+Tabla12[[#This Row],[TRIMESTRE III]]+Tabla12[[#This Row],[TRIMESTRE IV]]</f>
        <v>909</v>
      </c>
      <c r="O1234" s="39" t="s">
        <v>6</v>
      </c>
      <c r="P1234" s="79" t="s">
        <v>769</v>
      </c>
      <c r="Q1234" s="59" t="s">
        <v>776</v>
      </c>
    </row>
    <row r="1235" spans="2:17" s="106" customFormat="1" ht="22.5" x14ac:dyDescent="0.2">
      <c r="B1235" s="66">
        <v>1500</v>
      </c>
      <c r="C1235" s="67" t="s">
        <v>767</v>
      </c>
      <c r="D1235" s="37">
        <v>530</v>
      </c>
      <c r="E1235" s="42" t="str">
        <f>IF(D1235&lt;=0,"",VLOOKUP(D1235,[10]FF!A:D,2,0))</f>
        <v>PARTICIPACIONES Ramo 28</v>
      </c>
      <c r="F1235" s="37" t="s">
        <v>770</v>
      </c>
      <c r="G1235" s="37" t="s">
        <v>461</v>
      </c>
      <c r="H1235" s="37">
        <v>246001</v>
      </c>
      <c r="I1235" s="41" t="str">
        <f>IF(H1235&lt;=0,"",VLOOKUP(H1235,[10]COG!A:H,2,0))</f>
        <v>Material eléctrico</v>
      </c>
      <c r="J1235" s="39">
        <v>1095</v>
      </c>
      <c r="K1235" s="39">
        <v>1340</v>
      </c>
      <c r="L1235" s="39">
        <v>95</v>
      </c>
      <c r="M1235" s="39">
        <v>850</v>
      </c>
      <c r="N1235" s="108">
        <f>Tabla12[[#This Row],[TRIMESTRE  I]]+Tabla12[[#This Row],[TRIMESTRE II]]+Tabla12[[#This Row],[TRIMESTRE III]]+Tabla12[[#This Row],[TRIMESTRE IV]]</f>
        <v>3380</v>
      </c>
      <c r="O1235" s="39" t="s">
        <v>6</v>
      </c>
      <c r="P1235" s="79" t="s">
        <v>769</v>
      </c>
      <c r="Q1235" s="59" t="s">
        <v>776</v>
      </c>
    </row>
    <row r="1236" spans="2:17" s="106" customFormat="1" ht="22.5" x14ac:dyDescent="0.2">
      <c r="B1236" s="66">
        <v>1500</v>
      </c>
      <c r="C1236" s="67" t="s">
        <v>767</v>
      </c>
      <c r="D1236" s="37">
        <v>530</v>
      </c>
      <c r="E1236" s="42" t="str">
        <f>IF(D1236&lt;=0,"",VLOOKUP(D1236,[10]FF!A:D,2,0))</f>
        <v>PARTICIPACIONES Ramo 28</v>
      </c>
      <c r="F1236" s="37" t="s">
        <v>772</v>
      </c>
      <c r="G1236" s="37" t="s">
        <v>461</v>
      </c>
      <c r="H1236" s="37">
        <v>246001</v>
      </c>
      <c r="I1236" s="41" t="str">
        <f>IF(H1236&lt;=0,"",VLOOKUP(H1236,[10]COG!A:H,2,0))</f>
        <v>Material eléctrico</v>
      </c>
      <c r="J1236" s="39">
        <v>425</v>
      </c>
      <c r="K1236" s="39">
        <v>425</v>
      </c>
      <c r="L1236" s="39">
        <v>0</v>
      </c>
      <c r="M1236" s="39">
        <v>425</v>
      </c>
      <c r="N1236" s="108">
        <f>Tabla12[[#This Row],[TRIMESTRE  I]]+Tabla12[[#This Row],[TRIMESTRE II]]+Tabla12[[#This Row],[TRIMESTRE III]]+Tabla12[[#This Row],[TRIMESTRE IV]]</f>
        <v>1275</v>
      </c>
      <c r="O1236" s="39" t="s">
        <v>6</v>
      </c>
      <c r="P1236" s="79" t="s">
        <v>769</v>
      </c>
      <c r="Q1236" s="59" t="s">
        <v>776</v>
      </c>
    </row>
    <row r="1237" spans="2:17" s="106" customFormat="1" ht="22.5" x14ac:dyDescent="0.2">
      <c r="B1237" s="66">
        <v>1500</v>
      </c>
      <c r="C1237" s="67" t="s">
        <v>767</v>
      </c>
      <c r="D1237" s="37">
        <v>530</v>
      </c>
      <c r="E1237" s="42" t="str">
        <f>IF(D1237&lt;=0,"",VLOOKUP(D1237,[10]FF!A:D,2,0))</f>
        <v>PARTICIPACIONES Ramo 28</v>
      </c>
      <c r="F1237" s="37" t="s">
        <v>775</v>
      </c>
      <c r="G1237" s="37" t="s">
        <v>461</v>
      </c>
      <c r="H1237" s="37">
        <v>246001</v>
      </c>
      <c r="I1237" s="41" t="str">
        <f>IF(H1237&lt;=0,"",VLOOKUP(H1237,[10]COG!A:H,2,0))</f>
        <v>Material eléctrico</v>
      </c>
      <c r="J1237" s="39">
        <v>425</v>
      </c>
      <c r="K1237" s="39">
        <v>908</v>
      </c>
      <c r="L1237" s="39">
        <v>825</v>
      </c>
      <c r="M1237" s="39">
        <v>0</v>
      </c>
      <c r="N1237" s="108">
        <f>Tabla12[[#This Row],[TRIMESTRE  I]]+Tabla12[[#This Row],[TRIMESTRE II]]+Tabla12[[#This Row],[TRIMESTRE III]]+Tabla12[[#This Row],[TRIMESTRE IV]]</f>
        <v>2158</v>
      </c>
      <c r="O1237" s="39" t="s">
        <v>6</v>
      </c>
      <c r="P1237" s="79" t="s">
        <v>769</v>
      </c>
      <c r="Q1237" s="59" t="s">
        <v>776</v>
      </c>
    </row>
    <row r="1238" spans="2:17" s="106" customFormat="1" ht="22.5" x14ac:dyDescent="0.2">
      <c r="B1238" s="66">
        <v>1500</v>
      </c>
      <c r="C1238" s="67" t="s">
        <v>767</v>
      </c>
      <c r="D1238" s="37">
        <v>530</v>
      </c>
      <c r="E1238" s="42" t="str">
        <f>IF(D1238&lt;=0,"",VLOOKUP(D1238,[10]FF!A:D,2,0))</f>
        <v>PARTICIPACIONES Ramo 28</v>
      </c>
      <c r="F1238" s="37" t="s">
        <v>770</v>
      </c>
      <c r="G1238" s="37" t="s">
        <v>461</v>
      </c>
      <c r="H1238" s="37">
        <v>246002</v>
      </c>
      <c r="I1238" s="41" t="str">
        <f>IF(H1238&lt;=0,"",VLOOKUP(H1238,[10]COG!A:H,2,0))</f>
        <v>Material electrónico</v>
      </c>
      <c r="J1238" s="39">
        <v>0</v>
      </c>
      <c r="K1238" s="39">
        <v>600</v>
      </c>
      <c r="L1238" s="39">
        <v>255</v>
      </c>
      <c r="M1238" s="39">
        <v>213</v>
      </c>
      <c r="N1238" s="108">
        <f>Tabla12[[#This Row],[TRIMESTRE  I]]+Tabla12[[#This Row],[TRIMESTRE II]]+Tabla12[[#This Row],[TRIMESTRE III]]+Tabla12[[#This Row],[TRIMESTRE IV]]</f>
        <v>1068</v>
      </c>
      <c r="O1238" s="39" t="s">
        <v>6</v>
      </c>
      <c r="P1238" s="79" t="s">
        <v>769</v>
      </c>
      <c r="Q1238" s="59" t="s">
        <v>776</v>
      </c>
    </row>
    <row r="1239" spans="2:17" s="106" customFormat="1" ht="22.5" x14ac:dyDescent="0.2">
      <c r="B1239" s="66">
        <v>1500</v>
      </c>
      <c r="C1239" s="67" t="s">
        <v>767</v>
      </c>
      <c r="D1239" s="37">
        <v>530</v>
      </c>
      <c r="E1239" s="42" t="str">
        <f>IF(D1239&lt;=0,"",VLOOKUP(D1239,[10]FF!A:D,2,0))</f>
        <v>PARTICIPACIONES Ramo 28</v>
      </c>
      <c r="F1239" s="37" t="s">
        <v>775</v>
      </c>
      <c r="G1239" s="37" t="s">
        <v>461</v>
      </c>
      <c r="H1239" s="37">
        <v>246002</v>
      </c>
      <c r="I1239" s="41" t="str">
        <f>IF(H1239&lt;=0,"",VLOOKUP(H1239,[10]COG!A:H,2,0))</f>
        <v>Material electrónico</v>
      </c>
      <c r="J1239" s="39">
        <v>1602</v>
      </c>
      <c r="K1239" s="39">
        <v>1275</v>
      </c>
      <c r="L1239" s="39">
        <v>1325</v>
      </c>
      <c r="M1239" s="39">
        <v>0</v>
      </c>
      <c r="N1239" s="108">
        <f>Tabla12[[#This Row],[TRIMESTRE  I]]+Tabla12[[#This Row],[TRIMESTRE II]]+Tabla12[[#This Row],[TRIMESTRE III]]+Tabla12[[#This Row],[TRIMESTRE IV]]</f>
        <v>4202</v>
      </c>
      <c r="O1239" s="39" t="s">
        <v>6</v>
      </c>
      <c r="P1239" s="79" t="s">
        <v>769</v>
      </c>
      <c r="Q1239" s="59" t="s">
        <v>776</v>
      </c>
    </row>
    <row r="1240" spans="2:17" s="106" customFormat="1" ht="22.5" x14ac:dyDescent="0.2">
      <c r="B1240" s="66">
        <v>1500</v>
      </c>
      <c r="C1240" s="67" t="s">
        <v>767</v>
      </c>
      <c r="D1240" s="37">
        <v>530</v>
      </c>
      <c r="E1240" s="42" t="str">
        <f>IF(D1240&lt;=0,"",VLOOKUP(D1240,[10]FF!A:D,2,0))</f>
        <v>PARTICIPACIONES Ramo 28</v>
      </c>
      <c r="F1240" s="37" t="s">
        <v>770</v>
      </c>
      <c r="G1240" s="37" t="s">
        <v>461</v>
      </c>
      <c r="H1240" s="37">
        <v>247001</v>
      </c>
      <c r="I1240" s="41" t="str">
        <f>IF(H1240&lt;=0,"",VLOOKUP(H1240,[10]COG!A:H,2,0))</f>
        <v>Artículos metálicos para la construcción</v>
      </c>
      <c r="J1240" s="39">
        <v>170</v>
      </c>
      <c r="K1240" s="39">
        <v>0</v>
      </c>
      <c r="L1240" s="39">
        <v>0</v>
      </c>
      <c r="M1240" s="39">
        <v>0</v>
      </c>
      <c r="N1240" s="108">
        <f>Tabla12[[#This Row],[TRIMESTRE  I]]+Tabla12[[#This Row],[TRIMESTRE II]]+Tabla12[[#This Row],[TRIMESTRE III]]+Tabla12[[#This Row],[TRIMESTRE IV]]</f>
        <v>170</v>
      </c>
      <c r="O1240" s="39" t="s">
        <v>6</v>
      </c>
      <c r="P1240" s="79" t="s">
        <v>769</v>
      </c>
      <c r="Q1240" s="59" t="s">
        <v>776</v>
      </c>
    </row>
    <row r="1241" spans="2:17" s="106" customFormat="1" ht="26.25" customHeight="1" x14ac:dyDescent="0.2">
      <c r="B1241" s="66">
        <v>1500</v>
      </c>
      <c r="C1241" s="67" t="s">
        <v>767</v>
      </c>
      <c r="D1241" s="37">
        <v>530</v>
      </c>
      <c r="E1241" s="42" t="str">
        <f>IF(D1241&lt;=0,"",VLOOKUP(D1241,[10]FF!A:D,2,0))</f>
        <v>PARTICIPACIONES Ramo 28</v>
      </c>
      <c r="F1241" s="37" t="s">
        <v>770</v>
      </c>
      <c r="G1241" s="37" t="s">
        <v>461</v>
      </c>
      <c r="H1241" s="37">
        <v>249000</v>
      </c>
      <c r="I1241" s="41" t="str">
        <f>IF(H1241&lt;=0,"",VLOOKUP(H1241,[10]COG!A:H,2,0))</f>
        <v>Otros materiales y artículos de construcción y reparación</v>
      </c>
      <c r="J1241" s="39">
        <v>340</v>
      </c>
      <c r="K1241" s="39">
        <v>900</v>
      </c>
      <c r="L1241" s="39">
        <v>765</v>
      </c>
      <c r="M1241" s="39">
        <v>255</v>
      </c>
      <c r="N1241" s="108">
        <f>Tabla12[[#This Row],[TRIMESTRE  I]]+Tabla12[[#This Row],[TRIMESTRE II]]+Tabla12[[#This Row],[TRIMESTRE III]]+Tabla12[[#This Row],[TRIMESTRE IV]]</f>
        <v>2260</v>
      </c>
      <c r="O1241" s="39" t="s">
        <v>6</v>
      </c>
      <c r="P1241" s="79" t="s">
        <v>769</v>
      </c>
      <c r="Q1241" s="59" t="s">
        <v>776</v>
      </c>
    </row>
    <row r="1242" spans="2:17" s="106" customFormat="1" ht="26.25" customHeight="1" x14ac:dyDescent="0.2">
      <c r="B1242" s="66">
        <v>1500</v>
      </c>
      <c r="C1242" s="67" t="s">
        <v>767</v>
      </c>
      <c r="D1242" s="37">
        <v>530</v>
      </c>
      <c r="E1242" s="42" t="str">
        <f>IF(D1242&lt;=0,"",VLOOKUP(D1242,[10]FF!A:D,2,0))</f>
        <v>PARTICIPACIONES Ramo 28</v>
      </c>
      <c r="F1242" s="37" t="s">
        <v>770</v>
      </c>
      <c r="G1242" s="37" t="s">
        <v>461</v>
      </c>
      <c r="H1242" s="37">
        <v>251001</v>
      </c>
      <c r="I1242" s="41" t="str">
        <f>IF(H1242&lt;=0,"",VLOOKUP(H1242,[10]COG!A:H,2,0))</f>
        <v>Gas Refrigerante</v>
      </c>
      <c r="J1242" s="39">
        <v>0</v>
      </c>
      <c r="K1242" s="39">
        <v>3050</v>
      </c>
      <c r="L1242" s="39">
        <v>0</v>
      </c>
      <c r="M1242" s="39">
        <v>0</v>
      </c>
      <c r="N1242" s="108">
        <f>Tabla12[[#This Row],[TRIMESTRE  I]]+Tabla12[[#This Row],[TRIMESTRE II]]+Tabla12[[#This Row],[TRIMESTRE III]]+Tabla12[[#This Row],[TRIMESTRE IV]]</f>
        <v>3050</v>
      </c>
      <c r="O1242" s="39" t="s">
        <v>6</v>
      </c>
      <c r="P1242" s="79" t="s">
        <v>769</v>
      </c>
      <c r="Q1242" s="59" t="s">
        <v>776</v>
      </c>
    </row>
    <row r="1243" spans="2:17" s="106" customFormat="1" ht="26.25" customHeight="1" x14ac:dyDescent="0.2">
      <c r="B1243" s="66">
        <v>1500</v>
      </c>
      <c r="C1243" s="67" t="s">
        <v>767</v>
      </c>
      <c r="D1243" s="37">
        <v>530</v>
      </c>
      <c r="E1243" s="42" t="str">
        <f>IF(D1243&lt;=0,"",VLOOKUP(D1243,[10]FF!A:D,2,0))</f>
        <v>PARTICIPACIONES Ramo 28</v>
      </c>
      <c r="F1243" s="37" t="s">
        <v>770</v>
      </c>
      <c r="G1243" s="37" t="s">
        <v>461</v>
      </c>
      <c r="H1243" s="37">
        <v>253001</v>
      </c>
      <c r="I1243" s="41" t="str">
        <f>IF(H1243&lt;=0,"",VLOOKUP(H1243,[10]COG!A:H,2,0))</f>
        <v>Material y productos químicos, farmacéuticos</v>
      </c>
      <c r="J1243" s="39">
        <v>700</v>
      </c>
      <c r="K1243" s="39">
        <v>0</v>
      </c>
      <c r="L1243" s="39">
        <v>680</v>
      </c>
      <c r="M1243" s="39">
        <v>0</v>
      </c>
      <c r="N1243" s="108">
        <f>Tabla12[[#This Row],[TRIMESTRE  I]]+Tabla12[[#This Row],[TRIMESTRE II]]+Tabla12[[#This Row],[TRIMESTRE III]]+Tabla12[[#This Row],[TRIMESTRE IV]]</f>
        <v>1380</v>
      </c>
      <c r="O1243" s="39" t="s">
        <v>6</v>
      </c>
      <c r="P1243" s="79" t="s">
        <v>769</v>
      </c>
      <c r="Q1243" s="59" t="s">
        <v>776</v>
      </c>
    </row>
    <row r="1244" spans="2:17" s="106" customFormat="1" ht="26.25" customHeight="1" x14ac:dyDescent="0.2">
      <c r="B1244" s="66">
        <v>1500</v>
      </c>
      <c r="C1244" s="67" t="s">
        <v>767</v>
      </c>
      <c r="D1244" s="37">
        <v>530</v>
      </c>
      <c r="E1244" s="42" t="str">
        <f>IF(D1244&lt;=0,"",VLOOKUP(D1244,[10]FF!A:D,2,0))</f>
        <v>PARTICIPACIONES Ramo 28</v>
      </c>
      <c r="F1244" s="37" t="s">
        <v>768</v>
      </c>
      <c r="G1244" s="37" t="s">
        <v>461</v>
      </c>
      <c r="H1244" s="37">
        <v>261001</v>
      </c>
      <c r="I1244" s="41" t="str">
        <f>IF(H1244&lt;=0,"",VLOOKUP(H1244,[10]COG!A:H,2,0))</f>
        <v>Combustibles</v>
      </c>
      <c r="J1244" s="39">
        <v>19500</v>
      </c>
      <c r="K1244" s="39">
        <v>19000</v>
      </c>
      <c r="L1244" s="39">
        <v>18000</v>
      </c>
      <c r="M1244" s="39">
        <v>17500</v>
      </c>
      <c r="N1244" s="108">
        <f>Tabla12[[#This Row],[TRIMESTRE  I]]+Tabla12[[#This Row],[TRIMESTRE II]]+Tabla12[[#This Row],[TRIMESTRE III]]+Tabla12[[#This Row],[TRIMESTRE IV]]</f>
        <v>74000</v>
      </c>
      <c r="O1244" s="39" t="s">
        <v>5</v>
      </c>
      <c r="P1244" s="79" t="s">
        <v>777</v>
      </c>
      <c r="Q1244" s="59" t="s">
        <v>581</v>
      </c>
    </row>
    <row r="1245" spans="2:17" s="106" customFormat="1" ht="26.25" customHeight="1" x14ac:dyDescent="0.2">
      <c r="B1245" s="66">
        <v>1500</v>
      </c>
      <c r="C1245" s="67" t="s">
        <v>767</v>
      </c>
      <c r="D1245" s="37">
        <v>530</v>
      </c>
      <c r="E1245" s="42" t="str">
        <f>IF(D1245&lt;=0,"",VLOOKUP(D1245,[10]FF!A:D,2,0))</f>
        <v>PARTICIPACIONES Ramo 28</v>
      </c>
      <c r="F1245" s="37" t="s">
        <v>770</v>
      </c>
      <c r="G1245" s="37" t="s">
        <v>461</v>
      </c>
      <c r="H1245" s="37">
        <v>261001</v>
      </c>
      <c r="I1245" s="41" t="str">
        <f>IF(H1245&lt;=0,"",VLOOKUP(H1245,[10]COG!A:H,2,0))</f>
        <v>Combustibles</v>
      </c>
      <c r="J1245" s="39">
        <v>24900</v>
      </c>
      <c r="K1245" s="39">
        <v>23000</v>
      </c>
      <c r="L1245" s="39">
        <v>23000</v>
      </c>
      <c r="M1245" s="39">
        <v>21500</v>
      </c>
      <c r="N1245" s="108">
        <f>Tabla12[[#This Row],[TRIMESTRE  I]]+Tabla12[[#This Row],[TRIMESTRE II]]+Tabla12[[#This Row],[TRIMESTRE III]]+Tabla12[[#This Row],[TRIMESTRE IV]]</f>
        <v>92400</v>
      </c>
      <c r="O1245" s="39" t="s">
        <v>5</v>
      </c>
      <c r="P1245" s="79" t="s">
        <v>777</v>
      </c>
      <c r="Q1245" s="59" t="s">
        <v>581</v>
      </c>
    </row>
    <row r="1246" spans="2:17" s="106" customFormat="1" ht="22.5" x14ac:dyDescent="0.2">
      <c r="B1246" s="66">
        <v>1500</v>
      </c>
      <c r="C1246" s="67" t="s">
        <v>767</v>
      </c>
      <c r="D1246" s="37">
        <v>530</v>
      </c>
      <c r="E1246" s="42" t="str">
        <f>IF(D1246&lt;=0,"",VLOOKUP(D1246,[10]FF!A:D,2,0))</f>
        <v>PARTICIPACIONES Ramo 28</v>
      </c>
      <c r="F1246" s="37" t="s">
        <v>771</v>
      </c>
      <c r="G1246" s="37" t="s">
        <v>461</v>
      </c>
      <c r="H1246" s="37">
        <v>261001</v>
      </c>
      <c r="I1246" s="41" t="str">
        <f>IF(H1246&lt;=0,"",VLOOKUP(H1246,[10]COG!A:H,2,0))</f>
        <v>Combustibles</v>
      </c>
      <c r="J1246" s="39">
        <v>21900</v>
      </c>
      <c r="K1246" s="39">
        <v>21000</v>
      </c>
      <c r="L1246" s="39">
        <v>19000</v>
      </c>
      <c r="M1246" s="39">
        <v>18500</v>
      </c>
      <c r="N1246" s="108">
        <f>Tabla12[[#This Row],[TRIMESTRE  I]]+Tabla12[[#This Row],[TRIMESTRE II]]+Tabla12[[#This Row],[TRIMESTRE III]]+Tabla12[[#This Row],[TRIMESTRE IV]]</f>
        <v>80400</v>
      </c>
      <c r="O1246" s="39" t="s">
        <v>5</v>
      </c>
      <c r="P1246" s="79" t="s">
        <v>777</v>
      </c>
      <c r="Q1246" s="59" t="s">
        <v>581</v>
      </c>
    </row>
    <row r="1247" spans="2:17" s="106" customFormat="1" ht="26.25" customHeight="1" x14ac:dyDescent="0.2">
      <c r="B1247" s="66">
        <v>1500</v>
      </c>
      <c r="C1247" s="67" t="s">
        <v>767</v>
      </c>
      <c r="D1247" s="37">
        <v>530</v>
      </c>
      <c r="E1247" s="42" t="str">
        <f>IF(D1247&lt;=0,"",VLOOKUP(D1247,[10]FF!A:D,2,0))</f>
        <v>PARTICIPACIONES Ramo 28</v>
      </c>
      <c r="F1247" s="37" t="s">
        <v>772</v>
      </c>
      <c r="G1247" s="37" t="s">
        <v>461</v>
      </c>
      <c r="H1247" s="37">
        <v>261001</v>
      </c>
      <c r="I1247" s="41" t="str">
        <f>IF(H1247&lt;=0,"",VLOOKUP(H1247,[10]COG!A:H,2,0))</f>
        <v>Combustibles</v>
      </c>
      <c r="J1247" s="39">
        <v>22900</v>
      </c>
      <c r="K1247" s="39">
        <v>21000</v>
      </c>
      <c r="L1247" s="39">
        <v>19000</v>
      </c>
      <c r="M1247" s="39">
        <v>18500</v>
      </c>
      <c r="N1247" s="108">
        <f>Tabla12[[#This Row],[TRIMESTRE  I]]+Tabla12[[#This Row],[TRIMESTRE II]]+Tabla12[[#This Row],[TRIMESTRE III]]+Tabla12[[#This Row],[TRIMESTRE IV]]</f>
        <v>81400</v>
      </c>
      <c r="O1247" s="39" t="s">
        <v>5</v>
      </c>
      <c r="P1247" s="79" t="s">
        <v>777</v>
      </c>
      <c r="Q1247" s="59" t="s">
        <v>581</v>
      </c>
    </row>
    <row r="1248" spans="2:17" s="106" customFormat="1" ht="22.5" x14ac:dyDescent="0.2">
      <c r="B1248" s="66">
        <v>1500</v>
      </c>
      <c r="C1248" s="67" t="s">
        <v>767</v>
      </c>
      <c r="D1248" s="37">
        <v>530</v>
      </c>
      <c r="E1248" s="42" t="str">
        <f>IF(D1248&lt;=0,"",VLOOKUP(D1248,[10]FF!A:D,2,0))</f>
        <v>PARTICIPACIONES Ramo 28</v>
      </c>
      <c r="F1248" s="37" t="s">
        <v>773</v>
      </c>
      <c r="G1248" s="37" t="s">
        <v>461</v>
      </c>
      <c r="H1248" s="37">
        <v>261001</v>
      </c>
      <c r="I1248" s="41" t="str">
        <f>IF(H1248&lt;=0,"",VLOOKUP(H1248,[10]COG!A:H,2,0))</f>
        <v>Combustibles</v>
      </c>
      <c r="J1248" s="39">
        <v>21400</v>
      </c>
      <c r="K1248" s="39">
        <v>20000</v>
      </c>
      <c r="L1248" s="39">
        <v>18000</v>
      </c>
      <c r="M1248" s="39">
        <v>18000</v>
      </c>
      <c r="N1248" s="108">
        <f>Tabla12[[#This Row],[TRIMESTRE  I]]+Tabla12[[#This Row],[TRIMESTRE II]]+Tabla12[[#This Row],[TRIMESTRE III]]+Tabla12[[#This Row],[TRIMESTRE IV]]</f>
        <v>77400</v>
      </c>
      <c r="O1248" s="39" t="s">
        <v>5</v>
      </c>
      <c r="P1248" s="79" t="s">
        <v>777</v>
      </c>
      <c r="Q1248" s="59" t="s">
        <v>581</v>
      </c>
    </row>
    <row r="1249" spans="2:17" s="106" customFormat="1" ht="22.5" x14ac:dyDescent="0.2">
      <c r="B1249" s="66">
        <v>1500</v>
      </c>
      <c r="C1249" s="67" t="s">
        <v>767</v>
      </c>
      <c r="D1249" s="37">
        <v>530</v>
      </c>
      <c r="E1249" s="42" t="str">
        <f>IF(D1249&lt;=0,"",VLOOKUP(D1249,[10]FF!A:D,2,0))</f>
        <v>PARTICIPACIONES Ramo 28</v>
      </c>
      <c r="F1249" s="37" t="s">
        <v>774</v>
      </c>
      <c r="G1249" s="37" t="s">
        <v>461</v>
      </c>
      <c r="H1249" s="37">
        <v>261001</v>
      </c>
      <c r="I1249" s="41" t="str">
        <f>IF(H1249&lt;=0,"",VLOOKUP(H1249,[10]COG!A:H,2,0))</f>
        <v>Combustibles</v>
      </c>
      <c r="J1249" s="39">
        <v>17000</v>
      </c>
      <c r="K1249" s="39">
        <v>17000</v>
      </c>
      <c r="L1249" s="39">
        <v>14000</v>
      </c>
      <c r="M1249" s="39">
        <v>18000</v>
      </c>
      <c r="N1249" s="108">
        <f>Tabla12[[#This Row],[TRIMESTRE  I]]+Tabla12[[#This Row],[TRIMESTRE II]]+Tabla12[[#This Row],[TRIMESTRE III]]+Tabla12[[#This Row],[TRIMESTRE IV]]</f>
        <v>66000</v>
      </c>
      <c r="O1249" s="39" t="s">
        <v>5</v>
      </c>
      <c r="P1249" s="79" t="s">
        <v>777</v>
      </c>
      <c r="Q1249" s="59" t="s">
        <v>581</v>
      </c>
    </row>
    <row r="1250" spans="2:17" s="106" customFormat="1" ht="22.5" x14ac:dyDescent="0.2">
      <c r="B1250" s="66">
        <v>1500</v>
      </c>
      <c r="C1250" s="67" t="s">
        <v>767</v>
      </c>
      <c r="D1250" s="37">
        <v>530</v>
      </c>
      <c r="E1250" s="42" t="str">
        <f>IF(D1250&lt;=0,"",VLOOKUP(D1250,[10]FF!A:D,2,0))</f>
        <v>PARTICIPACIONES Ramo 28</v>
      </c>
      <c r="F1250" s="37" t="s">
        <v>775</v>
      </c>
      <c r="G1250" s="37" t="s">
        <v>461</v>
      </c>
      <c r="H1250" s="37">
        <v>261001</v>
      </c>
      <c r="I1250" s="41" t="str">
        <f>IF(H1250&lt;=0,"",VLOOKUP(H1250,[10]COG!A:H,2,0))</f>
        <v>Combustibles</v>
      </c>
      <c r="J1250" s="39">
        <v>21400</v>
      </c>
      <c r="K1250" s="39">
        <v>19000</v>
      </c>
      <c r="L1250" s="39">
        <v>19000</v>
      </c>
      <c r="M1250" s="39">
        <v>18000</v>
      </c>
      <c r="N1250" s="108">
        <f>Tabla12[[#This Row],[TRIMESTRE  I]]+Tabla12[[#This Row],[TRIMESTRE II]]+Tabla12[[#This Row],[TRIMESTRE III]]+Tabla12[[#This Row],[TRIMESTRE IV]]</f>
        <v>77400</v>
      </c>
      <c r="O1250" s="39" t="s">
        <v>5</v>
      </c>
      <c r="P1250" s="79" t="s">
        <v>777</v>
      </c>
      <c r="Q1250" s="59" t="s">
        <v>581</v>
      </c>
    </row>
    <row r="1251" spans="2:17" s="106" customFormat="1" ht="22.5" x14ac:dyDescent="0.2">
      <c r="B1251" s="66">
        <v>1500</v>
      </c>
      <c r="C1251" s="67" t="s">
        <v>767</v>
      </c>
      <c r="D1251" s="37">
        <v>530</v>
      </c>
      <c r="E1251" s="42" t="str">
        <f>IF(D1251&lt;=0,"",VLOOKUP(D1251,[10]FF!A:D,2,0))</f>
        <v>PARTICIPACIONES Ramo 28</v>
      </c>
      <c r="F1251" s="37" t="s">
        <v>770</v>
      </c>
      <c r="G1251" s="37" t="s">
        <v>461</v>
      </c>
      <c r="H1251" s="37">
        <v>261002</v>
      </c>
      <c r="I1251" s="41" t="str">
        <f>IF(H1251&lt;=0,"",VLOOKUP(H1251,[10]COG!A:H,2,0))</f>
        <v>Lubricantes y aditivos</v>
      </c>
      <c r="J1251" s="39">
        <v>170</v>
      </c>
      <c r="K1251" s="39">
        <v>2085</v>
      </c>
      <c r="L1251" s="39">
        <v>255</v>
      </c>
      <c r="M1251" s="39">
        <v>595</v>
      </c>
      <c r="N1251" s="108">
        <f>Tabla12[[#This Row],[TRIMESTRE  I]]+Tabla12[[#This Row],[TRIMESTRE II]]+Tabla12[[#This Row],[TRIMESTRE III]]+Tabla12[[#This Row],[TRIMESTRE IV]]</f>
        <v>3105</v>
      </c>
      <c r="O1251" s="39" t="s">
        <v>6</v>
      </c>
      <c r="P1251" s="79" t="s">
        <v>769</v>
      </c>
      <c r="Q1251" s="59" t="s">
        <v>776</v>
      </c>
    </row>
    <row r="1252" spans="2:17" s="106" customFormat="1" ht="22.5" x14ac:dyDescent="0.2">
      <c r="B1252" s="66">
        <v>1500</v>
      </c>
      <c r="C1252" s="67" t="s">
        <v>767</v>
      </c>
      <c r="D1252" s="37">
        <v>530</v>
      </c>
      <c r="E1252" s="42" t="str">
        <f>IF(D1252&lt;=0,"",VLOOKUP(D1252,[10]FF!A:D,2,0))</f>
        <v>PARTICIPACIONES Ramo 28</v>
      </c>
      <c r="F1252" s="37" t="s">
        <v>768</v>
      </c>
      <c r="G1252" s="37" t="s">
        <v>461</v>
      </c>
      <c r="H1252" s="37">
        <v>271001</v>
      </c>
      <c r="I1252" s="41" t="str">
        <f>IF(H1252&lt;=0,"",VLOOKUP(H1252,[10]COG!A:H,2,0))</f>
        <v>Ropa, vestuario y equipo</v>
      </c>
      <c r="J1252" s="39">
        <v>600</v>
      </c>
      <c r="K1252" s="39">
        <v>500</v>
      </c>
      <c r="L1252" s="39">
        <v>0</v>
      </c>
      <c r="M1252" s="39">
        <v>0</v>
      </c>
      <c r="N1252" s="108">
        <f>Tabla12[[#This Row],[TRIMESTRE  I]]+Tabla12[[#This Row],[TRIMESTRE II]]+Tabla12[[#This Row],[TRIMESTRE III]]+Tabla12[[#This Row],[TRIMESTRE IV]]</f>
        <v>1100</v>
      </c>
      <c r="O1252" s="39" t="s">
        <v>6</v>
      </c>
      <c r="P1252" s="79" t="s">
        <v>769</v>
      </c>
      <c r="Q1252" s="59" t="s">
        <v>776</v>
      </c>
    </row>
    <row r="1253" spans="2:17" s="106" customFormat="1" ht="22.5" x14ac:dyDescent="0.2">
      <c r="B1253" s="66">
        <v>1500</v>
      </c>
      <c r="C1253" s="67" t="s">
        <v>767</v>
      </c>
      <c r="D1253" s="37">
        <v>530</v>
      </c>
      <c r="E1253" s="42" t="str">
        <f>IF(D1253&lt;=0,"",VLOOKUP(D1253,[10]FF!A:D,2,0))</f>
        <v>PARTICIPACIONES Ramo 28</v>
      </c>
      <c r="F1253" s="37" t="s">
        <v>774</v>
      </c>
      <c r="G1253" s="37" t="s">
        <v>461</v>
      </c>
      <c r="H1253" s="37">
        <v>271001</v>
      </c>
      <c r="I1253" s="41" t="str">
        <f>IF(H1253&lt;=0,"",VLOOKUP(H1253,[10]COG!A:H,2,0))</f>
        <v>Ropa, vestuario y equipo</v>
      </c>
      <c r="J1253" s="39">
        <v>1055</v>
      </c>
      <c r="K1253" s="39">
        <v>1055</v>
      </c>
      <c r="L1253" s="39">
        <v>0</v>
      </c>
      <c r="M1253" s="39">
        <v>0</v>
      </c>
      <c r="N1253" s="108">
        <f>Tabla12[[#This Row],[TRIMESTRE  I]]+Tabla12[[#This Row],[TRIMESTRE II]]+Tabla12[[#This Row],[TRIMESTRE III]]+Tabla12[[#This Row],[TRIMESTRE IV]]</f>
        <v>2110</v>
      </c>
      <c r="O1253" s="39" t="s">
        <v>6</v>
      </c>
      <c r="P1253" s="79" t="s">
        <v>769</v>
      </c>
      <c r="Q1253" s="59" t="s">
        <v>776</v>
      </c>
    </row>
    <row r="1254" spans="2:17" s="106" customFormat="1" ht="22.5" x14ac:dyDescent="0.2">
      <c r="B1254" s="66">
        <v>1500</v>
      </c>
      <c r="C1254" s="67" t="s">
        <v>767</v>
      </c>
      <c r="D1254" s="37">
        <v>530</v>
      </c>
      <c r="E1254" s="42" t="str">
        <f>IF(D1254&lt;=0,"",VLOOKUP(D1254,[10]FF!A:D,2,0))</f>
        <v>PARTICIPACIONES Ramo 28</v>
      </c>
      <c r="F1254" s="37" t="s">
        <v>770</v>
      </c>
      <c r="G1254" s="37" t="s">
        <v>461</v>
      </c>
      <c r="H1254" s="37">
        <v>291001</v>
      </c>
      <c r="I1254" s="41" t="str">
        <f>IF(H1254&lt;=0,"",VLOOKUP(H1254,[10]COG!A:H,2,0))</f>
        <v>Herramientas Auxiliares de Trabajo</v>
      </c>
      <c r="J1254" s="39">
        <v>370</v>
      </c>
      <c r="K1254" s="39">
        <v>785</v>
      </c>
      <c r="L1254" s="39">
        <v>510</v>
      </c>
      <c r="M1254" s="39">
        <v>510</v>
      </c>
      <c r="N1254" s="108">
        <f>Tabla12[[#This Row],[TRIMESTRE  I]]+Tabla12[[#This Row],[TRIMESTRE II]]+Tabla12[[#This Row],[TRIMESTRE III]]+Tabla12[[#This Row],[TRIMESTRE IV]]</f>
        <v>2175</v>
      </c>
      <c r="O1254" s="39" t="s">
        <v>6</v>
      </c>
      <c r="P1254" s="79" t="s">
        <v>769</v>
      </c>
      <c r="Q1254" s="59" t="s">
        <v>776</v>
      </c>
    </row>
    <row r="1255" spans="2:17" s="106" customFormat="1" ht="27" x14ac:dyDescent="0.2">
      <c r="B1255" s="66">
        <v>1500</v>
      </c>
      <c r="C1255" s="67" t="s">
        <v>767</v>
      </c>
      <c r="D1255" s="37">
        <v>530</v>
      </c>
      <c r="E1255" s="42" t="str">
        <f>IF(D1255&lt;=0,"",VLOOKUP(D1255,[10]FF!A:D,2,0))</f>
        <v>PARTICIPACIONES Ramo 28</v>
      </c>
      <c r="F1255" s="37" t="s">
        <v>770</v>
      </c>
      <c r="G1255" s="37" t="s">
        <v>461</v>
      </c>
      <c r="H1255" s="37">
        <v>292001</v>
      </c>
      <c r="I1255" s="41" t="str">
        <f>IF(H1255&lt;=0,"",VLOOKUP(H1255,[10]COG!A:H,2,0))</f>
        <v>Refacciones y accesorios menores de edificios (candados, cerraduras, chapas, llaves)</v>
      </c>
      <c r="J1255" s="39">
        <v>185</v>
      </c>
      <c r="K1255" s="39">
        <v>843</v>
      </c>
      <c r="L1255" s="39">
        <v>255</v>
      </c>
      <c r="M1255" s="39">
        <v>255</v>
      </c>
      <c r="N1255" s="108">
        <f>Tabla12[[#This Row],[TRIMESTRE  I]]+Tabla12[[#This Row],[TRIMESTRE II]]+Tabla12[[#This Row],[TRIMESTRE III]]+Tabla12[[#This Row],[TRIMESTRE IV]]</f>
        <v>1538</v>
      </c>
      <c r="O1255" s="39" t="s">
        <v>6</v>
      </c>
      <c r="P1255" s="79" t="s">
        <v>769</v>
      </c>
      <c r="Q1255" s="59" t="s">
        <v>776</v>
      </c>
    </row>
    <row r="1256" spans="2:17" s="106" customFormat="1" ht="22.5" x14ac:dyDescent="0.2">
      <c r="B1256" s="66">
        <v>1500</v>
      </c>
      <c r="C1256" s="67" t="s">
        <v>767</v>
      </c>
      <c r="D1256" s="37">
        <v>530</v>
      </c>
      <c r="E1256" s="42" t="str">
        <f>IF(D1256&lt;=0,"",VLOOKUP(D1256,[10]FF!A:D,2,0))</f>
        <v>PARTICIPACIONES Ramo 28</v>
      </c>
      <c r="F1256" s="37" t="s">
        <v>770</v>
      </c>
      <c r="G1256" s="37" t="s">
        <v>461</v>
      </c>
      <c r="H1256" s="37">
        <v>294001</v>
      </c>
      <c r="I1256" s="41" t="str">
        <f>IF(H1256&lt;=0,"",VLOOKUP(H1256,[10]COG!A:H,2,0))</f>
        <v>Dispositivos Internos y Externos de Equipo de Computo</v>
      </c>
      <c r="J1256" s="39">
        <v>925</v>
      </c>
      <c r="K1256" s="39">
        <v>425</v>
      </c>
      <c r="L1256" s="39">
        <v>425</v>
      </c>
      <c r="M1256" s="39">
        <v>425</v>
      </c>
      <c r="N1256" s="108">
        <f>Tabla12[[#This Row],[TRIMESTRE  I]]+Tabla12[[#This Row],[TRIMESTRE II]]+Tabla12[[#This Row],[TRIMESTRE III]]+Tabla12[[#This Row],[TRIMESTRE IV]]</f>
        <v>2200</v>
      </c>
      <c r="O1256" s="39" t="s">
        <v>6</v>
      </c>
      <c r="P1256" s="79" t="s">
        <v>769</v>
      </c>
      <c r="Q1256" s="59" t="s">
        <v>776</v>
      </c>
    </row>
    <row r="1257" spans="2:17" s="106" customFormat="1" ht="22.5" x14ac:dyDescent="0.2">
      <c r="B1257" s="66">
        <v>1500</v>
      </c>
      <c r="C1257" s="67" t="s">
        <v>767</v>
      </c>
      <c r="D1257" s="37">
        <v>530</v>
      </c>
      <c r="E1257" s="42" t="str">
        <f>IF(D1257&lt;=0,"",VLOOKUP(D1257,[10]FF!A:D,2,0))</f>
        <v>PARTICIPACIONES Ramo 28</v>
      </c>
      <c r="F1257" s="37" t="s">
        <v>772</v>
      </c>
      <c r="G1257" s="37" t="s">
        <v>461</v>
      </c>
      <c r="H1257" s="37">
        <v>294001</v>
      </c>
      <c r="I1257" s="41" t="str">
        <f>IF(H1257&lt;=0,"",VLOOKUP(H1257,[10]COG!A:H,2,0))</f>
        <v>Dispositivos Internos y Externos de Equipo de Computo</v>
      </c>
      <c r="J1257" s="39">
        <v>1650</v>
      </c>
      <c r="K1257" s="39">
        <v>850</v>
      </c>
      <c r="L1257" s="39">
        <v>2500</v>
      </c>
      <c r="M1257" s="39">
        <v>850</v>
      </c>
      <c r="N1257" s="108">
        <f>Tabla12[[#This Row],[TRIMESTRE  I]]+Tabla12[[#This Row],[TRIMESTRE II]]+Tabla12[[#This Row],[TRIMESTRE III]]+Tabla12[[#This Row],[TRIMESTRE IV]]</f>
        <v>5850</v>
      </c>
      <c r="O1257" s="39" t="s">
        <v>6</v>
      </c>
      <c r="P1257" s="79" t="s">
        <v>769</v>
      </c>
      <c r="Q1257" s="59" t="s">
        <v>776</v>
      </c>
    </row>
    <row r="1258" spans="2:17" s="106" customFormat="1" ht="22.5" x14ac:dyDescent="0.2">
      <c r="B1258" s="66">
        <v>1500</v>
      </c>
      <c r="C1258" s="67" t="s">
        <v>767</v>
      </c>
      <c r="D1258" s="37">
        <v>530</v>
      </c>
      <c r="E1258" s="42" t="str">
        <f>IF(D1258&lt;=0,"",VLOOKUP(D1258,[10]FF!A:D,2,0))</f>
        <v>PARTICIPACIONES Ramo 28</v>
      </c>
      <c r="F1258" s="37" t="s">
        <v>771</v>
      </c>
      <c r="G1258" s="37" t="s">
        <v>461</v>
      </c>
      <c r="H1258" s="37">
        <v>294002</v>
      </c>
      <c r="I1258" s="41" t="str">
        <f>IF(H1258&lt;=0,"",VLOOKUP(H1258,[10]COG!A:H,2,0))</f>
        <v>Refacciones y Accesorios Menores de Equipo de Computo</v>
      </c>
      <c r="J1258" s="39">
        <v>100</v>
      </c>
      <c r="K1258" s="39">
        <v>425</v>
      </c>
      <c r="L1258" s="39">
        <v>425</v>
      </c>
      <c r="M1258" s="39">
        <v>425</v>
      </c>
      <c r="N1258" s="108">
        <f>Tabla12[[#This Row],[TRIMESTRE  I]]+Tabla12[[#This Row],[TRIMESTRE II]]+Tabla12[[#This Row],[TRIMESTRE III]]+Tabla12[[#This Row],[TRIMESTRE IV]]</f>
        <v>1375</v>
      </c>
      <c r="O1258" s="39" t="s">
        <v>6</v>
      </c>
      <c r="P1258" s="79" t="s">
        <v>769</v>
      </c>
      <c r="Q1258" s="59" t="s">
        <v>776</v>
      </c>
    </row>
    <row r="1259" spans="2:17" s="106" customFormat="1" ht="22.5" x14ac:dyDescent="0.2">
      <c r="B1259" s="66">
        <v>1500</v>
      </c>
      <c r="C1259" s="67" t="s">
        <v>767</v>
      </c>
      <c r="D1259" s="37">
        <v>530</v>
      </c>
      <c r="E1259" s="42" t="str">
        <f>IF(D1259&lt;=0,"",VLOOKUP(D1259,[10]FF!A:D,2,0))</f>
        <v>PARTICIPACIONES Ramo 28</v>
      </c>
      <c r="F1259" s="37" t="s">
        <v>772</v>
      </c>
      <c r="G1259" s="37" t="s">
        <v>461</v>
      </c>
      <c r="H1259" s="37">
        <v>294002</v>
      </c>
      <c r="I1259" s="41" t="str">
        <f>IF(H1259&lt;=0,"",VLOOKUP(H1259,[10]COG!A:H,2,0))</f>
        <v>Refacciones y Accesorios Menores de Equipo de Computo</v>
      </c>
      <c r="J1259" s="39">
        <v>170</v>
      </c>
      <c r="K1259" s="39">
        <v>170</v>
      </c>
      <c r="L1259" s="39">
        <v>340</v>
      </c>
      <c r="M1259" s="39">
        <v>1850</v>
      </c>
      <c r="N1259" s="108">
        <f>Tabla12[[#This Row],[TRIMESTRE  I]]+Tabla12[[#This Row],[TRIMESTRE II]]+Tabla12[[#This Row],[TRIMESTRE III]]+Tabla12[[#This Row],[TRIMESTRE IV]]</f>
        <v>2530</v>
      </c>
      <c r="O1259" s="39" t="s">
        <v>6</v>
      </c>
      <c r="P1259" s="79" t="s">
        <v>769</v>
      </c>
      <c r="Q1259" s="59" t="s">
        <v>776</v>
      </c>
    </row>
    <row r="1260" spans="2:17" s="106" customFormat="1" ht="22.5" x14ac:dyDescent="0.2">
      <c r="B1260" s="66">
        <v>1500</v>
      </c>
      <c r="C1260" s="67" t="s">
        <v>767</v>
      </c>
      <c r="D1260" s="37">
        <v>530</v>
      </c>
      <c r="E1260" s="42" t="str">
        <f>IF(D1260&lt;=0,"",VLOOKUP(D1260,[10]FF!A:D,2,0))</f>
        <v>PARTICIPACIONES Ramo 28</v>
      </c>
      <c r="F1260" s="37" t="s">
        <v>770</v>
      </c>
      <c r="G1260" s="37" t="s">
        <v>461</v>
      </c>
      <c r="H1260" s="37">
        <v>296001</v>
      </c>
      <c r="I1260" s="41" t="str">
        <f>IF(H1260&lt;=0,"",VLOOKUP(H1260,[10]COG!A:H,2,0))</f>
        <v>Herramientas, refacciones y accesorios</v>
      </c>
      <c r="J1260" s="39">
        <v>500</v>
      </c>
      <c r="K1260" s="39">
        <v>500</v>
      </c>
      <c r="L1260" s="39">
        <v>595</v>
      </c>
      <c r="M1260" s="39">
        <v>680</v>
      </c>
      <c r="N1260" s="108">
        <f>Tabla12[[#This Row],[TRIMESTRE  I]]+Tabla12[[#This Row],[TRIMESTRE II]]+Tabla12[[#This Row],[TRIMESTRE III]]+Tabla12[[#This Row],[TRIMESTRE IV]]</f>
        <v>2275</v>
      </c>
      <c r="O1260" s="39" t="s">
        <v>6</v>
      </c>
      <c r="P1260" s="79" t="s">
        <v>769</v>
      </c>
      <c r="Q1260" s="59" t="s">
        <v>776</v>
      </c>
    </row>
    <row r="1261" spans="2:17" s="106" customFormat="1" ht="30.75" customHeight="1" x14ac:dyDescent="0.2">
      <c r="B1261" s="66">
        <v>1500</v>
      </c>
      <c r="C1261" s="67" t="s">
        <v>767</v>
      </c>
      <c r="D1261" s="37">
        <v>530</v>
      </c>
      <c r="E1261" s="42" t="str">
        <f>IF(D1261&lt;=0,"",VLOOKUP(D1261,[10]FF!A:D,2,0))</f>
        <v>PARTICIPACIONES Ramo 28</v>
      </c>
      <c r="F1261" s="37" t="s">
        <v>772</v>
      </c>
      <c r="G1261" s="37" t="s">
        <v>461</v>
      </c>
      <c r="H1261" s="37">
        <v>296001</v>
      </c>
      <c r="I1261" s="41" t="str">
        <f>IF(H1261&lt;=0,"",VLOOKUP(H1261,[10]COG!A:H,2,0))</f>
        <v>Herramientas, refacciones y accesorios</v>
      </c>
      <c r="J1261" s="39">
        <v>425</v>
      </c>
      <c r="K1261" s="39">
        <v>340</v>
      </c>
      <c r="L1261" s="39">
        <v>200</v>
      </c>
      <c r="M1261" s="39">
        <v>595</v>
      </c>
      <c r="N1261" s="108">
        <f>Tabla12[[#This Row],[TRIMESTRE  I]]+Tabla12[[#This Row],[TRIMESTRE II]]+Tabla12[[#This Row],[TRIMESTRE III]]+Tabla12[[#This Row],[TRIMESTRE IV]]</f>
        <v>1560</v>
      </c>
      <c r="O1261" s="39" t="s">
        <v>6</v>
      </c>
      <c r="P1261" s="79" t="s">
        <v>769</v>
      </c>
      <c r="Q1261" s="59" t="s">
        <v>776</v>
      </c>
    </row>
    <row r="1262" spans="2:17" s="106" customFormat="1" ht="30.75" customHeight="1" x14ac:dyDescent="0.2">
      <c r="B1262" s="66">
        <v>1500</v>
      </c>
      <c r="C1262" s="67" t="s">
        <v>767</v>
      </c>
      <c r="D1262" s="37">
        <v>530</v>
      </c>
      <c r="E1262" s="42" t="str">
        <f>IF(D1262&lt;=0,"",VLOOKUP(D1262,[10]FF!A:D,2,0))</f>
        <v>PARTICIPACIONES Ramo 28</v>
      </c>
      <c r="F1262" s="37" t="s">
        <v>770</v>
      </c>
      <c r="G1262" s="37" t="s">
        <v>461</v>
      </c>
      <c r="H1262" s="37">
        <v>299001</v>
      </c>
      <c r="I1262" s="41" t="str">
        <f>IF(H1262&lt;=0,"",VLOOKUP(H1262,[10]COG!A:H,2,0))</f>
        <v>Refacciones y accesorios menores otros bienes muebles</v>
      </c>
      <c r="J1262" s="39">
        <v>500</v>
      </c>
      <c r="K1262" s="39">
        <v>800</v>
      </c>
      <c r="L1262" s="39">
        <v>0</v>
      </c>
      <c r="M1262" s="39">
        <v>425</v>
      </c>
      <c r="N1262" s="108">
        <f>Tabla12[[#This Row],[TRIMESTRE  I]]+Tabla12[[#This Row],[TRIMESTRE II]]+Tabla12[[#This Row],[TRIMESTRE III]]+Tabla12[[#This Row],[TRIMESTRE IV]]</f>
        <v>1725</v>
      </c>
      <c r="O1262" s="39" t="s">
        <v>6</v>
      </c>
      <c r="P1262" s="79" t="s">
        <v>769</v>
      </c>
      <c r="Q1262" s="59" t="s">
        <v>776</v>
      </c>
    </row>
    <row r="1263" spans="2:17" s="106" customFormat="1" ht="30.75" customHeight="1" x14ac:dyDescent="0.2">
      <c r="B1263" s="66">
        <v>1500</v>
      </c>
      <c r="C1263" s="67" t="s">
        <v>767</v>
      </c>
      <c r="D1263" s="37">
        <v>530</v>
      </c>
      <c r="E1263" s="42" t="str">
        <f>IF(D1263&lt;=0,"",VLOOKUP(D1263,[10]FF!A:D,2,0))</f>
        <v>PARTICIPACIONES Ramo 28</v>
      </c>
      <c r="F1263" s="37" t="s">
        <v>772</v>
      </c>
      <c r="G1263" s="37" t="s">
        <v>461</v>
      </c>
      <c r="H1263" s="37">
        <v>299001</v>
      </c>
      <c r="I1263" s="41" t="str">
        <f>IF(H1263&lt;=0,"",VLOOKUP(H1263,[10]COG!A:H,2,0))</f>
        <v>Refacciones y accesorios menores otros bienes muebles</v>
      </c>
      <c r="J1263" s="39">
        <v>340</v>
      </c>
      <c r="K1263" s="39">
        <v>298</v>
      </c>
      <c r="L1263" s="39">
        <v>536</v>
      </c>
      <c r="M1263" s="39">
        <v>425</v>
      </c>
      <c r="N1263" s="108">
        <f>Tabla12[[#This Row],[TRIMESTRE  I]]+Tabla12[[#This Row],[TRIMESTRE II]]+Tabla12[[#This Row],[TRIMESTRE III]]+Tabla12[[#This Row],[TRIMESTRE IV]]</f>
        <v>1599</v>
      </c>
      <c r="O1263" s="39" t="s">
        <v>6</v>
      </c>
      <c r="P1263" s="79" t="s">
        <v>769</v>
      </c>
      <c r="Q1263" s="59" t="s">
        <v>776</v>
      </c>
    </row>
    <row r="1264" spans="2:17" s="106" customFormat="1" ht="30.75" customHeight="1" x14ac:dyDescent="0.2">
      <c r="B1264" s="66">
        <v>1500</v>
      </c>
      <c r="C1264" s="67" t="s">
        <v>767</v>
      </c>
      <c r="D1264" s="37">
        <v>530</v>
      </c>
      <c r="E1264" s="42" t="str">
        <f>IF(D1264&lt;=0,"",VLOOKUP(D1264,[10]FF!A:D,2,0))</f>
        <v>PARTICIPACIONES Ramo 28</v>
      </c>
      <c r="F1264" s="37" t="s">
        <v>768</v>
      </c>
      <c r="G1264" s="37" t="s">
        <v>458</v>
      </c>
      <c r="H1264" s="37">
        <v>311001</v>
      </c>
      <c r="I1264" s="41" t="str">
        <f>IF(H1264&lt;=0,"",VLOOKUP(H1264,[10]COG!A:H,2,0))</f>
        <v>Servicio de energía eléctrica</v>
      </c>
      <c r="J1264" s="39">
        <v>79279</v>
      </c>
      <c r="K1264" s="39">
        <v>102568</v>
      </c>
      <c r="L1264" s="39">
        <v>144323</v>
      </c>
      <c r="M1264" s="39">
        <v>130672</v>
      </c>
      <c r="N1264" s="108">
        <f>Tabla12[[#This Row],[TRIMESTRE  I]]+Tabla12[[#This Row],[TRIMESTRE II]]+Tabla12[[#This Row],[TRIMESTRE III]]+Tabla12[[#This Row],[TRIMESTRE IV]]</f>
        <v>456842</v>
      </c>
      <c r="O1264" s="39" t="s">
        <v>6</v>
      </c>
      <c r="P1264" s="79" t="s">
        <v>769</v>
      </c>
      <c r="Q1264" s="59" t="s">
        <v>776</v>
      </c>
    </row>
    <row r="1265" spans="2:17" s="106" customFormat="1" ht="30.75" customHeight="1" x14ac:dyDescent="0.2">
      <c r="B1265" s="66">
        <v>1500</v>
      </c>
      <c r="C1265" s="67" t="s">
        <v>767</v>
      </c>
      <c r="D1265" s="37">
        <v>530</v>
      </c>
      <c r="E1265" s="42" t="str">
        <f>IF(D1265&lt;=0,"",VLOOKUP(D1265,[10]FF!A:D,2,0))</f>
        <v>PARTICIPACIONES Ramo 28</v>
      </c>
      <c r="F1265" s="37" t="s">
        <v>768</v>
      </c>
      <c r="G1265" s="37" t="s">
        <v>458</v>
      </c>
      <c r="H1265" s="37">
        <v>314001</v>
      </c>
      <c r="I1265" s="41" t="str">
        <f>IF(H1265&lt;=0,"",VLOOKUP(H1265,[10]COG!A:H,2,0))</f>
        <v>Servicio telefónico</v>
      </c>
      <c r="J1265" s="39">
        <v>17263</v>
      </c>
      <c r="K1265" s="39">
        <v>16791</v>
      </c>
      <c r="L1265" s="39">
        <v>11524</v>
      </c>
      <c r="M1265" s="39">
        <v>17336</v>
      </c>
      <c r="N1265" s="108">
        <f>Tabla12[[#This Row],[TRIMESTRE  I]]+Tabla12[[#This Row],[TRIMESTRE II]]+Tabla12[[#This Row],[TRIMESTRE III]]+Tabla12[[#This Row],[TRIMESTRE IV]]</f>
        <v>62914</v>
      </c>
      <c r="O1265" s="39" t="s">
        <v>6</v>
      </c>
      <c r="P1265" s="79" t="s">
        <v>769</v>
      </c>
      <c r="Q1265" s="59" t="s">
        <v>776</v>
      </c>
    </row>
    <row r="1266" spans="2:17" s="106" customFormat="1" ht="22.5" x14ac:dyDescent="0.2">
      <c r="B1266" s="66">
        <v>1500</v>
      </c>
      <c r="C1266" s="67" t="s">
        <v>767</v>
      </c>
      <c r="D1266" s="37">
        <v>530</v>
      </c>
      <c r="E1266" s="42" t="str">
        <f>IF(D1266&lt;=0,"",VLOOKUP(D1266,[10]FF!A:D,2,0))</f>
        <v>PARTICIPACIONES Ramo 28</v>
      </c>
      <c r="F1266" s="37" t="s">
        <v>768</v>
      </c>
      <c r="G1266" s="37" t="s">
        <v>458</v>
      </c>
      <c r="H1266" s="37">
        <v>317001</v>
      </c>
      <c r="I1266" s="41" t="str">
        <f>IF(H1266&lt;=0,"",VLOOKUP(H1266,[10]COG!A:H,2,0))</f>
        <v>Servicios de acceso de Internet, redes y procesamiento de información</v>
      </c>
      <c r="J1266" s="39">
        <v>50001</v>
      </c>
      <c r="K1266" s="39">
        <v>50001</v>
      </c>
      <c r="L1266" s="39">
        <v>50001</v>
      </c>
      <c r="M1266" s="39">
        <v>49997</v>
      </c>
      <c r="N1266" s="108">
        <f>Tabla12[[#This Row],[TRIMESTRE  I]]+Tabla12[[#This Row],[TRIMESTRE II]]+Tabla12[[#This Row],[TRIMESTRE III]]+Tabla12[[#This Row],[TRIMESTRE IV]]</f>
        <v>200000</v>
      </c>
      <c r="O1266" s="39" t="s">
        <v>6</v>
      </c>
      <c r="P1266" s="79" t="s">
        <v>769</v>
      </c>
      <c r="Q1266" s="59" t="s">
        <v>776</v>
      </c>
    </row>
    <row r="1267" spans="2:17" s="106" customFormat="1" ht="22.5" x14ac:dyDescent="0.2">
      <c r="B1267" s="66">
        <v>1500</v>
      </c>
      <c r="C1267" s="67" t="s">
        <v>767</v>
      </c>
      <c r="D1267" s="37">
        <v>530</v>
      </c>
      <c r="E1267" s="42" t="str">
        <f>IF(D1267&lt;=0,"",VLOOKUP(D1267,[10]FF!A:D,2,0))</f>
        <v>PARTICIPACIONES Ramo 28</v>
      </c>
      <c r="F1267" s="37" t="s">
        <v>770</v>
      </c>
      <c r="G1267" s="37" t="s">
        <v>458</v>
      </c>
      <c r="H1267" s="37">
        <v>318001</v>
      </c>
      <c r="I1267" s="41" t="str">
        <f>IF(H1267&lt;=0,"",VLOOKUP(H1267,[10]COG!A:H,2,0))</f>
        <v>Servicio postal y telegráfico</v>
      </c>
      <c r="J1267" s="39">
        <v>1000</v>
      </c>
      <c r="K1267" s="39">
        <v>0</v>
      </c>
      <c r="L1267" s="39">
        <v>2000</v>
      </c>
      <c r="M1267" s="39">
        <v>0</v>
      </c>
      <c r="N1267" s="108">
        <f>Tabla12[[#This Row],[TRIMESTRE  I]]+Tabla12[[#This Row],[TRIMESTRE II]]+Tabla12[[#This Row],[TRIMESTRE III]]+Tabla12[[#This Row],[TRIMESTRE IV]]</f>
        <v>3000</v>
      </c>
      <c r="O1267" s="39" t="s">
        <v>6</v>
      </c>
      <c r="P1267" s="79" t="s">
        <v>769</v>
      </c>
      <c r="Q1267" s="59" t="s">
        <v>776</v>
      </c>
    </row>
    <row r="1268" spans="2:17" s="106" customFormat="1" ht="22.5" x14ac:dyDescent="0.2">
      <c r="B1268" s="66">
        <v>1500</v>
      </c>
      <c r="C1268" s="67" t="s">
        <v>767</v>
      </c>
      <c r="D1268" s="37">
        <v>530</v>
      </c>
      <c r="E1268" s="42" t="str">
        <f>IF(D1268&lt;=0,"",VLOOKUP(D1268,[10]FF!A:D,2,0))</f>
        <v>PARTICIPACIONES Ramo 28</v>
      </c>
      <c r="F1268" s="37" t="s">
        <v>771</v>
      </c>
      <c r="G1268" s="37" t="s">
        <v>458</v>
      </c>
      <c r="H1268" s="37">
        <v>318001</v>
      </c>
      <c r="I1268" s="41" t="str">
        <f>IF(H1268&lt;=0,"",VLOOKUP(H1268,[10]COG!A:H,2,0))</f>
        <v>Servicio postal y telegráfico</v>
      </c>
      <c r="J1268" s="39">
        <v>800</v>
      </c>
      <c r="K1268" s="39">
        <v>4300</v>
      </c>
      <c r="L1268" s="39">
        <v>400</v>
      </c>
      <c r="M1268" s="39">
        <v>2000</v>
      </c>
      <c r="N1268" s="108">
        <f>Tabla12[[#This Row],[TRIMESTRE  I]]+Tabla12[[#This Row],[TRIMESTRE II]]+Tabla12[[#This Row],[TRIMESTRE III]]+Tabla12[[#This Row],[TRIMESTRE IV]]</f>
        <v>7500</v>
      </c>
      <c r="O1268" s="39" t="s">
        <v>6</v>
      </c>
      <c r="P1268" s="79" t="s">
        <v>769</v>
      </c>
      <c r="Q1268" s="59" t="s">
        <v>776</v>
      </c>
    </row>
    <row r="1269" spans="2:17" s="106" customFormat="1" ht="22.5" x14ac:dyDescent="0.2">
      <c r="B1269" s="66">
        <v>1500</v>
      </c>
      <c r="C1269" s="67" t="s">
        <v>767</v>
      </c>
      <c r="D1269" s="37">
        <v>530</v>
      </c>
      <c r="E1269" s="42" t="str">
        <f>IF(D1269&lt;=0,"",VLOOKUP(D1269,[10]FF!A:D,2,0))</f>
        <v>PARTICIPACIONES Ramo 28</v>
      </c>
      <c r="F1269" s="37" t="s">
        <v>773</v>
      </c>
      <c r="G1269" s="37" t="s">
        <v>458</v>
      </c>
      <c r="H1269" s="37">
        <v>318001</v>
      </c>
      <c r="I1269" s="41" t="str">
        <f>IF(H1269&lt;=0,"",VLOOKUP(H1269,[10]COG!A:H,2,0))</f>
        <v>Servicio postal y telegráfico</v>
      </c>
      <c r="J1269" s="39">
        <v>2500</v>
      </c>
      <c r="K1269" s="39">
        <v>3682</v>
      </c>
      <c r="L1269" s="39">
        <v>2500</v>
      </c>
      <c r="M1269" s="39">
        <v>5000</v>
      </c>
      <c r="N1269" s="108">
        <f>Tabla12[[#This Row],[TRIMESTRE  I]]+Tabla12[[#This Row],[TRIMESTRE II]]+Tabla12[[#This Row],[TRIMESTRE III]]+Tabla12[[#This Row],[TRIMESTRE IV]]</f>
        <v>13682</v>
      </c>
      <c r="O1269" s="39" t="s">
        <v>6</v>
      </c>
      <c r="P1269" s="79" t="s">
        <v>769</v>
      </c>
      <c r="Q1269" s="59" t="s">
        <v>776</v>
      </c>
    </row>
    <row r="1270" spans="2:17" s="106" customFormat="1" ht="22.5" x14ac:dyDescent="0.2">
      <c r="B1270" s="66">
        <v>1500</v>
      </c>
      <c r="C1270" s="67" t="s">
        <v>767</v>
      </c>
      <c r="D1270" s="37">
        <v>530</v>
      </c>
      <c r="E1270" s="42" t="str">
        <f>IF(D1270&lt;=0,"",VLOOKUP(D1270,[10]FF!A:D,2,0))</f>
        <v>PARTICIPACIONES Ramo 28</v>
      </c>
      <c r="F1270" s="37" t="s">
        <v>774</v>
      </c>
      <c r="G1270" s="37" t="s">
        <v>458</v>
      </c>
      <c r="H1270" s="37">
        <v>318001</v>
      </c>
      <c r="I1270" s="41" t="str">
        <f>IF(H1270&lt;=0,"",VLOOKUP(H1270,[10]COG!A:H,2,0))</f>
        <v>Servicio postal y telegráfico</v>
      </c>
      <c r="J1270" s="39">
        <v>636</v>
      </c>
      <c r="K1270" s="39">
        <v>840</v>
      </c>
      <c r="L1270" s="39">
        <v>580</v>
      </c>
      <c r="M1270" s="39">
        <v>0</v>
      </c>
      <c r="N1270" s="108">
        <f>Tabla12[[#This Row],[TRIMESTRE  I]]+Tabla12[[#This Row],[TRIMESTRE II]]+Tabla12[[#This Row],[TRIMESTRE III]]+Tabla12[[#This Row],[TRIMESTRE IV]]</f>
        <v>2056</v>
      </c>
      <c r="O1270" s="39" t="s">
        <v>6</v>
      </c>
      <c r="P1270" s="79" t="s">
        <v>769</v>
      </c>
      <c r="Q1270" s="59" t="s">
        <v>776</v>
      </c>
    </row>
    <row r="1271" spans="2:17" s="106" customFormat="1" ht="22.5" x14ac:dyDescent="0.2">
      <c r="B1271" s="66">
        <v>1500</v>
      </c>
      <c r="C1271" s="67" t="s">
        <v>767</v>
      </c>
      <c r="D1271" s="37">
        <v>530</v>
      </c>
      <c r="E1271" s="42" t="str">
        <f>IF(D1271&lt;=0,"",VLOOKUP(D1271,[10]FF!A:D,2,0))</f>
        <v>PARTICIPACIONES Ramo 28</v>
      </c>
      <c r="F1271" s="37" t="s">
        <v>775</v>
      </c>
      <c r="G1271" s="37" t="s">
        <v>458</v>
      </c>
      <c r="H1271" s="37">
        <v>318001</v>
      </c>
      <c r="I1271" s="41" t="str">
        <f>IF(H1271&lt;=0,"",VLOOKUP(H1271,[10]COG!A:H,2,0))</f>
        <v>Servicio postal y telegráfico</v>
      </c>
      <c r="J1271" s="39">
        <v>1000</v>
      </c>
      <c r="K1271" s="39">
        <v>3000</v>
      </c>
      <c r="L1271" s="39">
        <v>1967</v>
      </c>
      <c r="M1271" s="39">
        <v>122</v>
      </c>
      <c r="N1271" s="108">
        <f>Tabla12[[#This Row],[TRIMESTRE  I]]+Tabla12[[#This Row],[TRIMESTRE II]]+Tabla12[[#This Row],[TRIMESTRE III]]+Tabla12[[#This Row],[TRIMESTRE IV]]</f>
        <v>6089</v>
      </c>
      <c r="O1271" s="39" t="s">
        <v>6</v>
      </c>
      <c r="P1271" s="79" t="s">
        <v>769</v>
      </c>
      <c r="Q1271" s="59" t="s">
        <v>776</v>
      </c>
    </row>
    <row r="1272" spans="2:17" s="106" customFormat="1" ht="22.5" x14ac:dyDescent="0.2">
      <c r="B1272" s="66">
        <v>1500</v>
      </c>
      <c r="C1272" s="67" t="s">
        <v>767</v>
      </c>
      <c r="D1272" s="37">
        <v>530</v>
      </c>
      <c r="E1272" s="42" t="str">
        <f>IF(D1272&lt;=0,"",VLOOKUP(D1272,[10]FF!A:D,2,0))</f>
        <v>PARTICIPACIONES Ramo 28</v>
      </c>
      <c r="F1272" s="37" t="s">
        <v>770</v>
      </c>
      <c r="G1272" s="37" t="s">
        <v>458</v>
      </c>
      <c r="H1272" s="37">
        <v>323001</v>
      </c>
      <c r="I1272" s="41" t="str">
        <f>IF(H1272&lt;=0,"",VLOOKUP(H1272,[10]COG!A:H,2,0))</f>
        <v>Arrendamiento de maquinaria y equipo</v>
      </c>
      <c r="J1272" s="39">
        <v>100</v>
      </c>
      <c r="K1272" s="39">
        <v>0</v>
      </c>
      <c r="L1272" s="39">
        <v>0</v>
      </c>
      <c r="M1272" s="39">
        <v>0</v>
      </c>
      <c r="N1272" s="108">
        <f>Tabla12[[#This Row],[TRIMESTRE  I]]+Tabla12[[#This Row],[TRIMESTRE II]]+Tabla12[[#This Row],[TRIMESTRE III]]+Tabla12[[#This Row],[TRIMESTRE IV]]</f>
        <v>100</v>
      </c>
      <c r="O1272" s="39" t="s">
        <v>6</v>
      </c>
      <c r="P1272" s="79" t="s">
        <v>769</v>
      </c>
      <c r="Q1272" s="59" t="s">
        <v>776</v>
      </c>
    </row>
    <row r="1273" spans="2:17" s="106" customFormat="1" ht="22.5" x14ac:dyDescent="0.2">
      <c r="B1273" s="66">
        <v>1500</v>
      </c>
      <c r="C1273" s="67" t="s">
        <v>767</v>
      </c>
      <c r="D1273" s="37">
        <v>530</v>
      </c>
      <c r="E1273" s="42" t="str">
        <f>IF(D1273&lt;=0,"",VLOOKUP(D1273,[10]FF!A:D,2,0))</f>
        <v>PARTICIPACIONES Ramo 28</v>
      </c>
      <c r="F1273" s="37" t="s">
        <v>772</v>
      </c>
      <c r="G1273" s="37" t="s">
        <v>458</v>
      </c>
      <c r="H1273" s="37">
        <v>329001</v>
      </c>
      <c r="I1273" s="41" t="str">
        <f>IF(H1273&lt;=0,"",VLOOKUP(H1273,[10]COG!A:H,2,0))</f>
        <v>Arrendamientos especiales</v>
      </c>
      <c r="J1273" s="39">
        <v>0</v>
      </c>
      <c r="K1273" s="39">
        <v>1000</v>
      </c>
      <c r="L1273" s="39">
        <v>0</v>
      </c>
      <c r="M1273" s="39">
        <v>1000</v>
      </c>
      <c r="N1273" s="108">
        <f>Tabla12[[#This Row],[TRIMESTRE  I]]+Tabla12[[#This Row],[TRIMESTRE II]]+Tabla12[[#This Row],[TRIMESTRE III]]+Tabla12[[#This Row],[TRIMESTRE IV]]</f>
        <v>2000</v>
      </c>
      <c r="O1273" s="39" t="s">
        <v>6</v>
      </c>
      <c r="P1273" s="79" t="s">
        <v>769</v>
      </c>
      <c r="Q1273" s="59" t="s">
        <v>776</v>
      </c>
    </row>
    <row r="1274" spans="2:17" s="106" customFormat="1" ht="22.5" x14ac:dyDescent="0.2">
      <c r="B1274" s="66">
        <v>1500</v>
      </c>
      <c r="C1274" s="67" t="s">
        <v>767</v>
      </c>
      <c r="D1274" s="37">
        <v>530</v>
      </c>
      <c r="E1274" s="42" t="str">
        <f>IF(D1274&lt;=0,"",VLOOKUP(D1274,[10]FF!A:D,2,0))</f>
        <v>PARTICIPACIONES Ramo 28</v>
      </c>
      <c r="F1274" s="37" t="s">
        <v>775</v>
      </c>
      <c r="G1274" s="37" t="s">
        <v>458</v>
      </c>
      <c r="H1274" s="37">
        <v>329001</v>
      </c>
      <c r="I1274" s="41" t="str">
        <f>IF(H1274&lt;=0,"",VLOOKUP(H1274,[10]COG!A:H,2,0))</f>
        <v>Arrendamientos especiales</v>
      </c>
      <c r="J1274" s="39">
        <v>500</v>
      </c>
      <c r="K1274" s="39">
        <v>500</v>
      </c>
      <c r="L1274" s="39">
        <v>0</v>
      </c>
      <c r="M1274" s="39">
        <v>0</v>
      </c>
      <c r="N1274" s="108">
        <f>Tabla12[[#This Row],[TRIMESTRE  I]]+Tabla12[[#This Row],[TRIMESTRE II]]+Tabla12[[#This Row],[TRIMESTRE III]]+Tabla12[[#This Row],[TRIMESTRE IV]]</f>
        <v>1000</v>
      </c>
      <c r="O1274" s="39" t="s">
        <v>6</v>
      </c>
      <c r="P1274" s="79" t="s">
        <v>769</v>
      </c>
      <c r="Q1274" s="59" t="s">
        <v>776</v>
      </c>
    </row>
    <row r="1275" spans="2:17" s="106" customFormat="1" ht="22.5" x14ac:dyDescent="0.2">
      <c r="B1275" s="66">
        <v>1500</v>
      </c>
      <c r="C1275" s="67" t="s">
        <v>767</v>
      </c>
      <c r="D1275" s="37">
        <v>530</v>
      </c>
      <c r="E1275" s="42" t="str">
        <f>IF(D1275&lt;=0,"",VLOOKUP(D1275,[10]FF!A:D,2,0))</f>
        <v>PARTICIPACIONES Ramo 28</v>
      </c>
      <c r="F1275" s="37" t="s">
        <v>768</v>
      </c>
      <c r="G1275" s="37" t="s">
        <v>458</v>
      </c>
      <c r="H1275" s="37">
        <v>334002</v>
      </c>
      <c r="I1275" s="41" t="str">
        <f>IF(H1275&lt;=0,"",VLOOKUP(H1275,[10]COG!A:H,2,0))</f>
        <v>Servicios de Capacitación</v>
      </c>
      <c r="J1275" s="39">
        <v>3000</v>
      </c>
      <c r="K1275" s="39">
        <v>1500</v>
      </c>
      <c r="L1275" s="39">
        <v>3204</v>
      </c>
      <c r="M1275" s="39">
        <v>700</v>
      </c>
      <c r="N1275" s="108">
        <f>Tabla12[[#This Row],[TRIMESTRE  I]]+Tabla12[[#This Row],[TRIMESTRE II]]+Tabla12[[#This Row],[TRIMESTRE III]]+Tabla12[[#This Row],[TRIMESTRE IV]]</f>
        <v>8404</v>
      </c>
      <c r="O1275" s="39" t="s">
        <v>6</v>
      </c>
      <c r="P1275" s="79" t="s">
        <v>769</v>
      </c>
      <c r="Q1275" s="59" t="s">
        <v>776</v>
      </c>
    </row>
    <row r="1276" spans="2:17" s="106" customFormat="1" ht="22.5" x14ac:dyDescent="0.2">
      <c r="B1276" s="66">
        <v>1500</v>
      </c>
      <c r="C1276" s="67" t="s">
        <v>767</v>
      </c>
      <c r="D1276" s="37">
        <v>530</v>
      </c>
      <c r="E1276" s="42" t="str">
        <f>IF(D1276&lt;=0,"",VLOOKUP(D1276,[10]FF!A:D,2,0))</f>
        <v>PARTICIPACIONES Ramo 28</v>
      </c>
      <c r="F1276" s="37" t="s">
        <v>772</v>
      </c>
      <c r="G1276" s="37" t="s">
        <v>458</v>
      </c>
      <c r="H1276" s="37">
        <v>334002</v>
      </c>
      <c r="I1276" s="41" t="str">
        <f>IF(H1276&lt;=0,"",VLOOKUP(H1276,[10]COG!A:H,2,0))</f>
        <v>Servicios de Capacitación</v>
      </c>
      <c r="J1276" s="39">
        <v>1275</v>
      </c>
      <c r="K1276" s="39">
        <v>4250</v>
      </c>
      <c r="L1276" s="39">
        <v>1275</v>
      </c>
      <c r="M1276" s="39">
        <v>3400</v>
      </c>
      <c r="N1276" s="108">
        <f>Tabla12[[#This Row],[TRIMESTRE  I]]+Tabla12[[#This Row],[TRIMESTRE II]]+Tabla12[[#This Row],[TRIMESTRE III]]+Tabla12[[#This Row],[TRIMESTRE IV]]</f>
        <v>10200</v>
      </c>
      <c r="O1276" s="39" t="s">
        <v>6</v>
      </c>
      <c r="P1276" s="79" t="s">
        <v>769</v>
      </c>
      <c r="Q1276" s="59" t="s">
        <v>776</v>
      </c>
    </row>
    <row r="1277" spans="2:17" s="106" customFormat="1" ht="22.5" x14ac:dyDescent="0.2">
      <c r="B1277" s="66">
        <v>1500</v>
      </c>
      <c r="C1277" s="67" t="s">
        <v>767</v>
      </c>
      <c r="D1277" s="37">
        <v>530</v>
      </c>
      <c r="E1277" s="43" t="str">
        <f>IF(D1277&lt;=0,"",VLOOKUP(D1277,[10]FF!A:D,2,0))</f>
        <v>PARTICIPACIONES Ramo 28</v>
      </c>
      <c r="F1277" s="37" t="s">
        <v>774</v>
      </c>
      <c r="G1277" s="37" t="s">
        <v>458</v>
      </c>
      <c r="H1277" s="37">
        <v>334002</v>
      </c>
      <c r="I1277" s="44" t="str">
        <f>IF(H1277&lt;=0,"",VLOOKUP(H1277,[10]COG!A:H,2,0))</f>
        <v>Servicios de Capacitación</v>
      </c>
      <c r="J1277" s="50">
        <v>600</v>
      </c>
      <c r="K1277" s="50">
        <v>336</v>
      </c>
      <c r="L1277" s="50">
        <v>336</v>
      </c>
      <c r="M1277" s="50">
        <v>136</v>
      </c>
      <c r="N1277" s="108">
        <f>Tabla12[[#This Row],[TRIMESTRE  I]]+Tabla12[[#This Row],[TRIMESTRE II]]+Tabla12[[#This Row],[TRIMESTRE III]]+Tabla12[[#This Row],[TRIMESTRE IV]]</f>
        <v>1408</v>
      </c>
      <c r="O1277" s="39" t="s">
        <v>6</v>
      </c>
      <c r="P1277" s="79" t="s">
        <v>769</v>
      </c>
      <c r="Q1277" s="59" t="s">
        <v>776</v>
      </c>
    </row>
    <row r="1278" spans="2:17" s="106" customFormat="1" ht="22.5" x14ac:dyDescent="0.2">
      <c r="B1278" s="66">
        <v>1500</v>
      </c>
      <c r="C1278" s="67" t="s">
        <v>767</v>
      </c>
      <c r="D1278" s="37">
        <v>530</v>
      </c>
      <c r="E1278" s="42" t="str">
        <f>IF(D1278&lt;=0,"",VLOOKUP(D1278,[10]FF!A:D,2,0))</f>
        <v>PARTICIPACIONES Ramo 28</v>
      </c>
      <c r="F1278" s="37" t="s">
        <v>775</v>
      </c>
      <c r="G1278" s="37" t="s">
        <v>458</v>
      </c>
      <c r="H1278" s="37">
        <v>334002</v>
      </c>
      <c r="I1278" s="41" t="str">
        <f>IF(H1278&lt;=0,"",VLOOKUP(H1278,[10]COG!A:H,2,0))</f>
        <v>Servicios de Capacitación</v>
      </c>
      <c r="J1278" s="39">
        <v>275</v>
      </c>
      <c r="K1278" s="39">
        <v>3850</v>
      </c>
      <c r="L1278" s="39">
        <v>3825</v>
      </c>
      <c r="M1278" s="39">
        <v>940</v>
      </c>
      <c r="N1278" s="108">
        <f>Tabla12[[#This Row],[TRIMESTRE  I]]+Tabla12[[#This Row],[TRIMESTRE II]]+Tabla12[[#This Row],[TRIMESTRE III]]+Tabla12[[#This Row],[TRIMESTRE IV]]</f>
        <v>8890</v>
      </c>
      <c r="O1278" s="39" t="s">
        <v>6</v>
      </c>
      <c r="P1278" s="79" t="s">
        <v>769</v>
      </c>
      <c r="Q1278" s="59" t="s">
        <v>776</v>
      </c>
    </row>
    <row r="1279" spans="2:17" s="106" customFormat="1" ht="22.5" x14ac:dyDescent="0.2">
      <c r="B1279" s="66">
        <v>1500</v>
      </c>
      <c r="C1279" s="67" t="s">
        <v>767</v>
      </c>
      <c r="D1279" s="37">
        <v>530</v>
      </c>
      <c r="E1279" s="42" t="str">
        <f>IF(D1279&lt;=0,"",VLOOKUP(D1279,[10]FF!A:D,2,0))</f>
        <v>PARTICIPACIONES Ramo 28</v>
      </c>
      <c r="F1279" s="37" t="s">
        <v>768</v>
      </c>
      <c r="G1279" s="37" t="s">
        <v>458</v>
      </c>
      <c r="H1279" s="37">
        <v>336001</v>
      </c>
      <c r="I1279" s="41" t="str">
        <f>IF(H1279&lt;=0,"",VLOOKUP(H1279,[10]COG!A:H,2,0))</f>
        <v>Servicio de Fotocopiado, Enmicado y Encuadernación de Documentos.</v>
      </c>
      <c r="J1279" s="39">
        <v>500</v>
      </c>
      <c r="K1279" s="39">
        <v>480</v>
      </c>
      <c r="L1279" s="39">
        <v>460</v>
      </c>
      <c r="M1279" s="39">
        <v>200</v>
      </c>
      <c r="N1279" s="108">
        <f>Tabla12[[#This Row],[TRIMESTRE  I]]+Tabla12[[#This Row],[TRIMESTRE II]]+Tabla12[[#This Row],[TRIMESTRE III]]+Tabla12[[#This Row],[TRIMESTRE IV]]</f>
        <v>1640</v>
      </c>
      <c r="O1279" s="39" t="s">
        <v>6</v>
      </c>
      <c r="P1279" s="79" t="s">
        <v>769</v>
      </c>
      <c r="Q1279" s="59" t="s">
        <v>776</v>
      </c>
    </row>
    <row r="1280" spans="2:17" s="106" customFormat="1" ht="22.5" x14ac:dyDescent="0.2">
      <c r="B1280" s="66">
        <v>1500</v>
      </c>
      <c r="C1280" s="67" t="s">
        <v>767</v>
      </c>
      <c r="D1280" s="37">
        <v>530</v>
      </c>
      <c r="E1280" s="42" t="str">
        <f>IF(D1280&lt;=0,"",VLOOKUP(D1280,[10]FF!A:D,2,0))</f>
        <v>PARTICIPACIONES Ramo 28</v>
      </c>
      <c r="F1280" s="37" t="s">
        <v>771</v>
      </c>
      <c r="G1280" s="37" t="s">
        <v>458</v>
      </c>
      <c r="H1280" s="37">
        <v>336001</v>
      </c>
      <c r="I1280" s="41" t="str">
        <f>IF(H1280&lt;=0,"",VLOOKUP(H1280,[10]COG!A:H,2,0))</f>
        <v>Servicio de Fotocopiado, Enmicado y Encuadernación de Documentos.</v>
      </c>
      <c r="J1280" s="39">
        <v>200</v>
      </c>
      <c r="K1280" s="39">
        <v>700</v>
      </c>
      <c r="L1280" s="39">
        <v>1600</v>
      </c>
      <c r="M1280" s="39">
        <v>800</v>
      </c>
      <c r="N1280" s="108">
        <f>Tabla12[[#This Row],[TRIMESTRE  I]]+Tabla12[[#This Row],[TRIMESTRE II]]+Tabla12[[#This Row],[TRIMESTRE III]]+Tabla12[[#This Row],[TRIMESTRE IV]]</f>
        <v>3300</v>
      </c>
      <c r="O1280" s="39" t="s">
        <v>6</v>
      </c>
      <c r="P1280" s="79" t="s">
        <v>769</v>
      </c>
      <c r="Q1280" s="59" t="s">
        <v>776</v>
      </c>
    </row>
    <row r="1281" spans="2:17" s="106" customFormat="1" ht="22.5" x14ac:dyDescent="0.2">
      <c r="B1281" s="66">
        <v>1500</v>
      </c>
      <c r="C1281" s="67" t="s">
        <v>767</v>
      </c>
      <c r="D1281" s="37">
        <v>530</v>
      </c>
      <c r="E1281" s="42" t="str">
        <f>IF(D1281&lt;=0,"",VLOOKUP(D1281,[10]FF!A:D,2,0))</f>
        <v>PARTICIPACIONES Ramo 28</v>
      </c>
      <c r="F1281" s="37" t="s">
        <v>772</v>
      </c>
      <c r="G1281" s="37" t="s">
        <v>458</v>
      </c>
      <c r="H1281" s="37">
        <v>336001</v>
      </c>
      <c r="I1281" s="41" t="str">
        <f>IF(H1281&lt;=0,"",VLOOKUP(H1281,[10]COG!A:H,2,0))</f>
        <v>Servicio de Fotocopiado, Enmicado y Encuadernación de Documentos.</v>
      </c>
      <c r="J1281" s="39">
        <v>425</v>
      </c>
      <c r="K1281" s="39">
        <v>200</v>
      </c>
      <c r="L1281" s="39">
        <v>400</v>
      </c>
      <c r="M1281" s="39">
        <v>0</v>
      </c>
      <c r="N1281" s="108">
        <f>Tabla12[[#This Row],[TRIMESTRE  I]]+Tabla12[[#This Row],[TRIMESTRE II]]+Tabla12[[#This Row],[TRIMESTRE III]]+Tabla12[[#This Row],[TRIMESTRE IV]]</f>
        <v>1025</v>
      </c>
      <c r="O1281" s="39" t="s">
        <v>6</v>
      </c>
      <c r="P1281" s="79" t="s">
        <v>769</v>
      </c>
      <c r="Q1281" s="59" t="s">
        <v>776</v>
      </c>
    </row>
    <row r="1282" spans="2:17" s="106" customFormat="1" ht="22.5" x14ac:dyDescent="0.2">
      <c r="B1282" s="66">
        <v>1500</v>
      </c>
      <c r="C1282" s="67" t="s">
        <v>767</v>
      </c>
      <c r="D1282" s="37">
        <v>530</v>
      </c>
      <c r="E1282" s="42" t="str">
        <f>IF(D1282&lt;=0,"",VLOOKUP(D1282,[10]FF!A:D,2,0))</f>
        <v>PARTICIPACIONES Ramo 28</v>
      </c>
      <c r="F1282" s="37" t="s">
        <v>773</v>
      </c>
      <c r="G1282" s="37" t="s">
        <v>458</v>
      </c>
      <c r="H1282" s="37">
        <v>336001</v>
      </c>
      <c r="I1282" s="41" t="str">
        <f>IF(H1282&lt;=0,"",VLOOKUP(H1282,[10]COG!A:H,2,0))</f>
        <v>Servicio de Fotocopiado, Enmicado y Encuadernación de Documentos.</v>
      </c>
      <c r="J1282" s="39">
        <v>1000</v>
      </c>
      <c r="K1282" s="39">
        <v>1500</v>
      </c>
      <c r="L1282" s="39">
        <v>1500</v>
      </c>
      <c r="M1282" s="39">
        <v>1000</v>
      </c>
      <c r="N1282" s="108">
        <f>Tabla12[[#This Row],[TRIMESTRE  I]]+Tabla12[[#This Row],[TRIMESTRE II]]+Tabla12[[#This Row],[TRIMESTRE III]]+Tabla12[[#This Row],[TRIMESTRE IV]]</f>
        <v>5000</v>
      </c>
      <c r="O1282" s="39" t="s">
        <v>6</v>
      </c>
      <c r="P1282" s="79" t="s">
        <v>769</v>
      </c>
      <c r="Q1282" s="59" t="s">
        <v>776</v>
      </c>
    </row>
    <row r="1283" spans="2:17" s="106" customFormat="1" ht="22.5" x14ac:dyDescent="0.2">
      <c r="B1283" s="66">
        <v>1500</v>
      </c>
      <c r="C1283" s="67" t="s">
        <v>767</v>
      </c>
      <c r="D1283" s="37">
        <v>530</v>
      </c>
      <c r="E1283" s="42" t="str">
        <f>IF(D1283&lt;=0,"",VLOOKUP(D1283,[10]FF!A:D,2,0))</f>
        <v>PARTICIPACIONES Ramo 28</v>
      </c>
      <c r="F1283" s="37" t="s">
        <v>774</v>
      </c>
      <c r="G1283" s="37" t="s">
        <v>458</v>
      </c>
      <c r="H1283" s="37">
        <v>336001</v>
      </c>
      <c r="I1283" s="41" t="str">
        <f>IF(H1283&lt;=0,"",VLOOKUP(H1283,[10]COG!A:H,2,0))</f>
        <v>Servicio de Fotocopiado, Enmicado y Encuadernación de Documentos.</v>
      </c>
      <c r="J1283" s="39">
        <v>200</v>
      </c>
      <c r="K1283" s="39">
        <v>440</v>
      </c>
      <c r="L1283" s="39">
        <v>440</v>
      </c>
      <c r="M1283" s="39">
        <v>240</v>
      </c>
      <c r="N1283" s="108">
        <f>Tabla12[[#This Row],[TRIMESTRE  I]]+Tabla12[[#This Row],[TRIMESTRE II]]+Tabla12[[#This Row],[TRIMESTRE III]]+Tabla12[[#This Row],[TRIMESTRE IV]]</f>
        <v>1320</v>
      </c>
      <c r="O1283" s="39" t="s">
        <v>6</v>
      </c>
      <c r="P1283" s="79" t="s">
        <v>769</v>
      </c>
      <c r="Q1283" s="59" t="s">
        <v>776</v>
      </c>
    </row>
    <row r="1284" spans="2:17" s="106" customFormat="1" ht="22.5" x14ac:dyDescent="0.2">
      <c r="B1284" s="66">
        <v>1500</v>
      </c>
      <c r="C1284" s="67" t="s">
        <v>767</v>
      </c>
      <c r="D1284" s="37">
        <v>530</v>
      </c>
      <c r="E1284" s="42" t="str">
        <f>IF(D1284&lt;=0,"",VLOOKUP(D1284,[10]FF!A:D,2,0))</f>
        <v>PARTICIPACIONES Ramo 28</v>
      </c>
      <c r="F1284" s="37" t="s">
        <v>770</v>
      </c>
      <c r="G1284" s="37" t="s">
        <v>458</v>
      </c>
      <c r="H1284" s="37">
        <v>336002</v>
      </c>
      <c r="I1284" s="41" t="str">
        <f>IF(H1284&lt;=0,"",VLOOKUP(H1284,[10]COG!A:H,2,0))</f>
        <v>Servicio de Impresión y Elaboración de Material Informativo</v>
      </c>
      <c r="J1284" s="39">
        <v>1000</v>
      </c>
      <c r="K1284" s="39">
        <v>0</v>
      </c>
      <c r="L1284" s="39">
        <v>850</v>
      </c>
      <c r="M1284" s="39">
        <v>0</v>
      </c>
      <c r="N1284" s="108">
        <f>Tabla12[[#This Row],[TRIMESTRE  I]]+Tabla12[[#This Row],[TRIMESTRE II]]+Tabla12[[#This Row],[TRIMESTRE III]]+Tabla12[[#This Row],[TRIMESTRE IV]]</f>
        <v>1850</v>
      </c>
      <c r="O1284" s="39" t="s">
        <v>6</v>
      </c>
      <c r="P1284" s="79" t="s">
        <v>769</v>
      </c>
      <c r="Q1284" s="59" t="s">
        <v>776</v>
      </c>
    </row>
    <row r="1285" spans="2:17" s="106" customFormat="1" ht="22.5" x14ac:dyDescent="0.2">
      <c r="B1285" s="66">
        <v>1500</v>
      </c>
      <c r="C1285" s="67" t="s">
        <v>767</v>
      </c>
      <c r="D1285" s="37">
        <v>530</v>
      </c>
      <c r="E1285" s="42" t="str">
        <f>IF(D1285&lt;=0,"",VLOOKUP(D1285,[10]FF!A:D,2,0))</f>
        <v>PARTICIPACIONES Ramo 28</v>
      </c>
      <c r="F1285" s="37" t="s">
        <v>771</v>
      </c>
      <c r="G1285" s="37" t="s">
        <v>458</v>
      </c>
      <c r="H1285" s="37">
        <v>336002</v>
      </c>
      <c r="I1285" s="41" t="str">
        <f>IF(H1285&lt;=0,"",VLOOKUP(H1285,[10]COG!A:H,2,0))</f>
        <v>Servicio de Impresión y Elaboración de Material Informativo</v>
      </c>
      <c r="J1285" s="39">
        <v>425</v>
      </c>
      <c r="K1285" s="39">
        <v>1700</v>
      </c>
      <c r="L1285" s="39">
        <v>1700</v>
      </c>
      <c r="M1285" s="39">
        <v>425</v>
      </c>
      <c r="N1285" s="108">
        <f>Tabla12[[#This Row],[TRIMESTRE  I]]+Tabla12[[#This Row],[TRIMESTRE II]]+Tabla12[[#This Row],[TRIMESTRE III]]+Tabla12[[#This Row],[TRIMESTRE IV]]</f>
        <v>4250</v>
      </c>
      <c r="O1285" s="39" t="s">
        <v>6</v>
      </c>
      <c r="P1285" s="79" t="s">
        <v>769</v>
      </c>
      <c r="Q1285" s="59" t="s">
        <v>776</v>
      </c>
    </row>
    <row r="1286" spans="2:17" s="106" customFormat="1" ht="22.5" x14ac:dyDescent="0.2">
      <c r="B1286" s="66">
        <v>1500</v>
      </c>
      <c r="C1286" s="67" t="s">
        <v>767</v>
      </c>
      <c r="D1286" s="37">
        <v>530</v>
      </c>
      <c r="E1286" s="42" t="str">
        <f>IF(D1286&lt;=0,"",VLOOKUP(D1286,[10]FF!A:D,2,0))</f>
        <v>PARTICIPACIONES Ramo 28</v>
      </c>
      <c r="F1286" s="37" t="s">
        <v>775</v>
      </c>
      <c r="G1286" s="37" t="s">
        <v>458</v>
      </c>
      <c r="H1286" s="37">
        <v>336002</v>
      </c>
      <c r="I1286" s="41" t="str">
        <f>IF(H1286&lt;=0,"",VLOOKUP(H1286,[10]COG!A:H,2,0))</f>
        <v>Servicio de Impresión y Elaboración de Material Informativo</v>
      </c>
      <c r="J1286" s="39">
        <v>350</v>
      </c>
      <c r="K1286" s="39">
        <v>500</v>
      </c>
      <c r="L1286" s="39">
        <v>400</v>
      </c>
      <c r="M1286" s="39">
        <v>350</v>
      </c>
      <c r="N1286" s="108">
        <f>Tabla12[[#This Row],[TRIMESTRE  I]]+Tabla12[[#This Row],[TRIMESTRE II]]+Tabla12[[#This Row],[TRIMESTRE III]]+Tabla12[[#This Row],[TRIMESTRE IV]]</f>
        <v>1600</v>
      </c>
      <c r="O1286" s="39" t="s">
        <v>6</v>
      </c>
      <c r="P1286" s="79" t="s">
        <v>769</v>
      </c>
      <c r="Q1286" s="59" t="s">
        <v>776</v>
      </c>
    </row>
    <row r="1287" spans="2:17" s="106" customFormat="1" ht="22.5" x14ac:dyDescent="0.2">
      <c r="B1287" s="66">
        <v>1500</v>
      </c>
      <c r="C1287" s="67" t="s">
        <v>767</v>
      </c>
      <c r="D1287" s="37">
        <v>530</v>
      </c>
      <c r="E1287" s="42" t="str">
        <f>IF(D1287&lt;=0,"",VLOOKUP(D1287,[10]FF!A:D,2,0))</f>
        <v>PARTICIPACIONES Ramo 28</v>
      </c>
      <c r="F1287" s="37" t="s">
        <v>770</v>
      </c>
      <c r="G1287" s="37" t="s">
        <v>458</v>
      </c>
      <c r="H1287" s="37">
        <v>341001</v>
      </c>
      <c r="I1287" s="41" t="str">
        <f>IF(H1287&lt;=0,"",VLOOKUP(H1287,[10]COG!A:H,2,0))</f>
        <v>Comisiones, descuentos y otros servicios bancarios</v>
      </c>
      <c r="J1287" s="39">
        <v>0</v>
      </c>
      <c r="K1287" s="39">
        <v>0</v>
      </c>
      <c r="L1287" s="39">
        <v>0</v>
      </c>
      <c r="M1287" s="39">
        <v>500</v>
      </c>
      <c r="N1287" s="108">
        <f>Tabla12[[#This Row],[TRIMESTRE  I]]+Tabla12[[#This Row],[TRIMESTRE II]]+Tabla12[[#This Row],[TRIMESTRE III]]+Tabla12[[#This Row],[TRIMESTRE IV]]</f>
        <v>500</v>
      </c>
      <c r="O1287" s="39" t="s">
        <v>6</v>
      </c>
      <c r="P1287" s="79" t="s">
        <v>769</v>
      </c>
      <c r="Q1287" s="59" t="s">
        <v>776</v>
      </c>
    </row>
    <row r="1288" spans="2:17" s="106" customFormat="1" ht="22.5" x14ac:dyDescent="0.2">
      <c r="B1288" s="66">
        <v>1500</v>
      </c>
      <c r="C1288" s="67" t="s">
        <v>767</v>
      </c>
      <c r="D1288" s="37">
        <v>530</v>
      </c>
      <c r="E1288" s="42" t="str">
        <f>IF(D1288&lt;=0,"",VLOOKUP(D1288,[10]FF!A:D,2,0))</f>
        <v>PARTICIPACIONES Ramo 28</v>
      </c>
      <c r="F1288" s="37" t="s">
        <v>771</v>
      </c>
      <c r="G1288" s="37" t="s">
        <v>458</v>
      </c>
      <c r="H1288" s="37">
        <v>351001</v>
      </c>
      <c r="I1288" s="41" t="str">
        <f>IF(H1288&lt;=0,"",VLOOKUP(H1288,[10]COG!A:H,2,0))</f>
        <v>Mantenimiento de inmuebles</v>
      </c>
      <c r="J1288" s="39">
        <v>1700</v>
      </c>
      <c r="K1288" s="39">
        <v>1275</v>
      </c>
      <c r="L1288" s="39">
        <v>850</v>
      </c>
      <c r="M1288" s="39">
        <v>850</v>
      </c>
      <c r="N1288" s="108">
        <f>Tabla12[[#This Row],[TRIMESTRE  I]]+Tabla12[[#This Row],[TRIMESTRE II]]+Tabla12[[#This Row],[TRIMESTRE III]]+Tabla12[[#This Row],[TRIMESTRE IV]]</f>
        <v>4675</v>
      </c>
      <c r="O1288" s="39" t="s">
        <v>6</v>
      </c>
      <c r="P1288" s="79" t="s">
        <v>769</v>
      </c>
      <c r="Q1288" s="59" t="s">
        <v>776</v>
      </c>
    </row>
    <row r="1289" spans="2:17" s="106" customFormat="1" ht="22.5" x14ac:dyDescent="0.2">
      <c r="B1289" s="66">
        <v>1500</v>
      </c>
      <c r="C1289" s="67" t="s">
        <v>767</v>
      </c>
      <c r="D1289" s="37">
        <v>530</v>
      </c>
      <c r="E1289" s="43" t="str">
        <f>IF(D1289&lt;=0,"",VLOOKUP(D1289,[10]FF!A:D,2,0))</f>
        <v>PARTICIPACIONES Ramo 28</v>
      </c>
      <c r="F1289" s="37" t="s">
        <v>770</v>
      </c>
      <c r="G1289" s="37" t="s">
        <v>458</v>
      </c>
      <c r="H1289" s="49">
        <v>351002</v>
      </c>
      <c r="I1289" s="44" t="str">
        <f>IF(H1289&lt;=0,"",VLOOKUP(H1289,[10]COG!A:H,2,0))</f>
        <v>Fumigación de Inmuebles</v>
      </c>
      <c r="J1289" s="50">
        <v>1500</v>
      </c>
      <c r="K1289" s="50">
        <v>6400</v>
      </c>
      <c r="L1289" s="50">
        <v>0</v>
      </c>
      <c r="M1289" s="50">
        <v>0</v>
      </c>
      <c r="N1289" s="108">
        <f>Tabla12[[#This Row],[TRIMESTRE  I]]+Tabla12[[#This Row],[TRIMESTRE II]]+Tabla12[[#This Row],[TRIMESTRE III]]+Tabla12[[#This Row],[TRIMESTRE IV]]</f>
        <v>7900</v>
      </c>
      <c r="O1289" s="39" t="s">
        <v>6</v>
      </c>
      <c r="P1289" s="79" t="s">
        <v>769</v>
      </c>
      <c r="Q1289" s="59" t="s">
        <v>776</v>
      </c>
    </row>
    <row r="1290" spans="2:17" s="106" customFormat="1" ht="22.5" x14ac:dyDescent="0.2">
      <c r="B1290" s="66">
        <v>1500</v>
      </c>
      <c r="C1290" s="67" t="s">
        <v>767</v>
      </c>
      <c r="D1290" s="37">
        <v>530</v>
      </c>
      <c r="E1290" s="42" t="str">
        <f>IF(D1290&lt;=0,"",VLOOKUP(D1290,[10]FF!A:D,2,0))</f>
        <v>PARTICIPACIONES Ramo 28</v>
      </c>
      <c r="F1290" s="37" t="s">
        <v>768</v>
      </c>
      <c r="G1290" s="37" t="s">
        <v>458</v>
      </c>
      <c r="H1290" s="37">
        <v>352001</v>
      </c>
      <c r="I1290" s="41" t="str">
        <f>IF(H1290&lt;=0,"",VLOOKUP(H1290,[10]COG!A:H,2,0))</f>
        <v>Mantenimiento de mobiliario y equipo</v>
      </c>
      <c r="J1290" s="39">
        <v>0</v>
      </c>
      <c r="K1290" s="39">
        <v>1600</v>
      </c>
      <c r="L1290" s="39">
        <v>0</v>
      </c>
      <c r="M1290" s="39">
        <v>0</v>
      </c>
      <c r="N1290" s="108">
        <f>Tabla12[[#This Row],[TRIMESTRE  I]]+Tabla12[[#This Row],[TRIMESTRE II]]+Tabla12[[#This Row],[TRIMESTRE III]]+Tabla12[[#This Row],[TRIMESTRE IV]]</f>
        <v>1600</v>
      </c>
      <c r="O1290" s="39" t="s">
        <v>6</v>
      </c>
      <c r="P1290" s="79" t="s">
        <v>769</v>
      </c>
      <c r="Q1290" s="59" t="s">
        <v>776</v>
      </c>
    </row>
    <row r="1291" spans="2:17" s="106" customFormat="1" ht="22.5" x14ac:dyDescent="0.2">
      <c r="B1291" s="66">
        <v>1500</v>
      </c>
      <c r="C1291" s="67" t="s">
        <v>767</v>
      </c>
      <c r="D1291" s="37">
        <v>530</v>
      </c>
      <c r="E1291" s="42" t="str">
        <f>IF(D1291&lt;=0,"",VLOOKUP(D1291,[10]FF!A:D,2,0))</f>
        <v>PARTICIPACIONES Ramo 28</v>
      </c>
      <c r="F1291" s="37" t="s">
        <v>770</v>
      </c>
      <c r="G1291" s="37" t="s">
        <v>458</v>
      </c>
      <c r="H1291" s="37">
        <v>352001</v>
      </c>
      <c r="I1291" s="41" t="str">
        <f>IF(H1291&lt;=0,"",VLOOKUP(H1291,[10]COG!A:H,2,0))</f>
        <v>Mantenimiento de mobiliario y equipo</v>
      </c>
      <c r="J1291" s="39">
        <v>1547</v>
      </c>
      <c r="K1291" s="39">
        <v>8050</v>
      </c>
      <c r="L1291" s="39">
        <v>0</v>
      </c>
      <c r="M1291" s="39">
        <v>0</v>
      </c>
      <c r="N1291" s="108">
        <f>Tabla12[[#This Row],[TRIMESTRE  I]]+Tabla12[[#This Row],[TRIMESTRE II]]+Tabla12[[#This Row],[TRIMESTRE III]]+Tabla12[[#This Row],[TRIMESTRE IV]]</f>
        <v>9597</v>
      </c>
      <c r="O1291" s="39" t="s">
        <v>6</v>
      </c>
      <c r="P1291" s="79" t="s">
        <v>769</v>
      </c>
      <c r="Q1291" s="59" t="s">
        <v>776</v>
      </c>
    </row>
    <row r="1292" spans="2:17" s="106" customFormat="1" ht="22.5" x14ac:dyDescent="0.2">
      <c r="B1292" s="66">
        <v>1500</v>
      </c>
      <c r="C1292" s="67" t="s">
        <v>767</v>
      </c>
      <c r="D1292" s="37">
        <v>530</v>
      </c>
      <c r="E1292" s="42" t="str">
        <f>IF(D1292&lt;=0,"",VLOOKUP(D1292,[10]FF!A:D,2,0))</f>
        <v>PARTICIPACIONES Ramo 28</v>
      </c>
      <c r="F1292" s="37" t="s">
        <v>771</v>
      </c>
      <c r="G1292" s="37" t="s">
        <v>458</v>
      </c>
      <c r="H1292" s="37">
        <v>352001</v>
      </c>
      <c r="I1292" s="41" t="str">
        <f>IF(H1292&lt;=0,"",VLOOKUP(H1292,[10]COG!A:H,2,0))</f>
        <v>Mantenimiento de mobiliario y equipo</v>
      </c>
      <c r="J1292" s="39">
        <v>1700</v>
      </c>
      <c r="K1292" s="39">
        <v>1700</v>
      </c>
      <c r="L1292" s="39">
        <v>1700</v>
      </c>
      <c r="M1292" s="39">
        <v>0</v>
      </c>
      <c r="N1292" s="108">
        <f>Tabla12[[#This Row],[TRIMESTRE  I]]+Tabla12[[#This Row],[TRIMESTRE II]]+Tabla12[[#This Row],[TRIMESTRE III]]+Tabla12[[#This Row],[TRIMESTRE IV]]</f>
        <v>5100</v>
      </c>
      <c r="O1292" s="39" t="s">
        <v>6</v>
      </c>
      <c r="P1292" s="79" t="s">
        <v>769</v>
      </c>
      <c r="Q1292" s="59" t="s">
        <v>776</v>
      </c>
    </row>
    <row r="1293" spans="2:17" s="106" customFormat="1" ht="22.5" x14ac:dyDescent="0.2">
      <c r="B1293" s="66">
        <v>1500</v>
      </c>
      <c r="C1293" s="67" t="s">
        <v>767</v>
      </c>
      <c r="D1293" s="37">
        <v>530</v>
      </c>
      <c r="E1293" s="42" t="str">
        <f>IF(D1293&lt;=0,"",VLOOKUP(D1293,[10]FF!A:D,2,0))</f>
        <v>PARTICIPACIONES Ramo 28</v>
      </c>
      <c r="F1293" s="37" t="s">
        <v>772</v>
      </c>
      <c r="G1293" s="37" t="s">
        <v>458</v>
      </c>
      <c r="H1293" s="37">
        <v>352001</v>
      </c>
      <c r="I1293" s="41" t="str">
        <f>IF(H1293&lt;=0,"",VLOOKUP(H1293,[10]COG!A:H,2,0))</f>
        <v>Mantenimiento de mobiliario y equipo</v>
      </c>
      <c r="J1293" s="39">
        <v>1700</v>
      </c>
      <c r="K1293" s="39">
        <v>850</v>
      </c>
      <c r="L1293" s="39">
        <v>1692</v>
      </c>
      <c r="M1293" s="39">
        <v>0</v>
      </c>
      <c r="N1293" s="108">
        <f>Tabla12[[#This Row],[TRIMESTRE  I]]+Tabla12[[#This Row],[TRIMESTRE II]]+Tabla12[[#This Row],[TRIMESTRE III]]+Tabla12[[#This Row],[TRIMESTRE IV]]</f>
        <v>4242</v>
      </c>
      <c r="O1293" s="39" t="s">
        <v>6</v>
      </c>
      <c r="P1293" s="79" t="s">
        <v>769</v>
      </c>
      <c r="Q1293" s="59" t="s">
        <v>776</v>
      </c>
    </row>
    <row r="1294" spans="2:17" s="106" customFormat="1" ht="22.5" x14ac:dyDescent="0.2">
      <c r="B1294" s="66">
        <v>1500</v>
      </c>
      <c r="C1294" s="67" t="s">
        <v>767</v>
      </c>
      <c r="D1294" s="37">
        <v>530</v>
      </c>
      <c r="E1294" s="42" t="str">
        <f>IF(D1294&lt;=0,"",VLOOKUP(D1294,[10]FF!A:D,2,0))</f>
        <v>PARTICIPACIONES Ramo 28</v>
      </c>
      <c r="F1294" s="37" t="s">
        <v>773</v>
      </c>
      <c r="G1294" s="37" t="s">
        <v>458</v>
      </c>
      <c r="H1294" s="37">
        <v>352001</v>
      </c>
      <c r="I1294" s="41" t="str">
        <f>IF(H1294&lt;=0,"",VLOOKUP(H1294,[10]COG!A:H,2,0))</f>
        <v>Mantenimiento de mobiliario y equipo</v>
      </c>
      <c r="J1294" s="39">
        <v>1700</v>
      </c>
      <c r="K1294" s="39">
        <v>3000</v>
      </c>
      <c r="L1294" s="39">
        <v>0</v>
      </c>
      <c r="M1294" s="39">
        <v>0</v>
      </c>
      <c r="N1294" s="108">
        <f>Tabla12[[#This Row],[TRIMESTRE  I]]+Tabla12[[#This Row],[TRIMESTRE II]]+Tabla12[[#This Row],[TRIMESTRE III]]+Tabla12[[#This Row],[TRIMESTRE IV]]</f>
        <v>4700</v>
      </c>
      <c r="O1294" s="39" t="s">
        <v>6</v>
      </c>
      <c r="P1294" s="79" t="s">
        <v>769</v>
      </c>
      <c r="Q1294" s="59" t="s">
        <v>776</v>
      </c>
    </row>
    <row r="1295" spans="2:17" s="106" customFormat="1" ht="22.5" x14ac:dyDescent="0.2">
      <c r="B1295" s="66">
        <v>1500</v>
      </c>
      <c r="C1295" s="67" t="s">
        <v>767</v>
      </c>
      <c r="D1295" s="37">
        <v>530</v>
      </c>
      <c r="E1295" s="42" t="str">
        <f>IF(D1295&lt;=0,"",VLOOKUP(D1295,[10]FF!A:D,2,0))</f>
        <v>PARTICIPACIONES Ramo 28</v>
      </c>
      <c r="F1295" s="37" t="s">
        <v>774</v>
      </c>
      <c r="G1295" s="37" t="s">
        <v>458</v>
      </c>
      <c r="H1295" s="37">
        <v>352001</v>
      </c>
      <c r="I1295" s="41" t="str">
        <f>IF(H1295&lt;=0,"",VLOOKUP(H1295,[10]COG!A:H,2,0))</f>
        <v>Mantenimiento de mobiliario y equipo</v>
      </c>
      <c r="J1295" s="39">
        <v>0</v>
      </c>
      <c r="K1295" s="39">
        <v>1500</v>
      </c>
      <c r="L1295" s="39">
        <v>0</v>
      </c>
      <c r="M1295" s="39">
        <v>0</v>
      </c>
      <c r="N1295" s="108">
        <f>Tabla12[[#This Row],[TRIMESTRE  I]]+Tabla12[[#This Row],[TRIMESTRE II]]+Tabla12[[#This Row],[TRIMESTRE III]]+Tabla12[[#This Row],[TRIMESTRE IV]]</f>
        <v>1500</v>
      </c>
      <c r="O1295" s="39" t="s">
        <v>6</v>
      </c>
      <c r="P1295" s="79" t="s">
        <v>769</v>
      </c>
      <c r="Q1295" s="59" t="s">
        <v>776</v>
      </c>
    </row>
    <row r="1296" spans="2:17" s="106" customFormat="1" ht="22.5" x14ac:dyDescent="0.2">
      <c r="B1296" s="66">
        <v>1500</v>
      </c>
      <c r="C1296" s="67" t="s">
        <v>767</v>
      </c>
      <c r="D1296" s="37">
        <v>530</v>
      </c>
      <c r="E1296" s="42" t="str">
        <f>IF(D1296&lt;=0,"",VLOOKUP(D1296,[10]FF!A:D,2,0))</f>
        <v>PARTICIPACIONES Ramo 28</v>
      </c>
      <c r="F1296" s="37" t="s">
        <v>775</v>
      </c>
      <c r="G1296" s="37" t="s">
        <v>458</v>
      </c>
      <c r="H1296" s="37">
        <v>352001</v>
      </c>
      <c r="I1296" s="41" t="str">
        <f>IF(H1296&lt;=0,"",VLOOKUP(H1296,[10]COG!A:H,2,0))</f>
        <v>Mantenimiento de mobiliario y equipo</v>
      </c>
      <c r="J1296" s="39">
        <v>1425</v>
      </c>
      <c r="K1296" s="39">
        <v>500</v>
      </c>
      <c r="L1296" s="39">
        <v>850</v>
      </c>
      <c r="M1296" s="39">
        <v>425</v>
      </c>
      <c r="N1296" s="108">
        <f>Tabla12[[#This Row],[TRIMESTRE  I]]+Tabla12[[#This Row],[TRIMESTRE II]]+Tabla12[[#This Row],[TRIMESTRE III]]+Tabla12[[#This Row],[TRIMESTRE IV]]</f>
        <v>3200</v>
      </c>
      <c r="O1296" s="39" t="s">
        <v>6</v>
      </c>
      <c r="P1296" s="79" t="s">
        <v>769</v>
      </c>
      <c r="Q1296" s="59" t="s">
        <v>776</v>
      </c>
    </row>
    <row r="1297" spans="2:17" s="106" customFormat="1" ht="22.5" x14ac:dyDescent="0.2">
      <c r="B1297" s="66">
        <v>1500</v>
      </c>
      <c r="C1297" s="67" t="s">
        <v>767</v>
      </c>
      <c r="D1297" s="37">
        <v>530</v>
      </c>
      <c r="E1297" s="42" t="str">
        <f>IF(D1297&lt;=0,"",VLOOKUP(D1297,[10]FF!A:D,2,0))</f>
        <v>PARTICIPACIONES Ramo 28</v>
      </c>
      <c r="F1297" s="37" t="s">
        <v>775</v>
      </c>
      <c r="G1297" s="37" t="s">
        <v>458</v>
      </c>
      <c r="H1297" s="37">
        <v>352002</v>
      </c>
      <c r="I1297" s="41" t="str">
        <f>IF(H1297&lt;=0,"",VLOOKUP(H1297,[10]COG!A:H,2,0))</f>
        <v>Gastos de instalación</v>
      </c>
      <c r="J1297" s="39">
        <v>100</v>
      </c>
      <c r="K1297" s="39">
        <v>0</v>
      </c>
      <c r="L1297" s="39">
        <v>0</v>
      </c>
      <c r="M1297" s="39">
        <v>0</v>
      </c>
      <c r="N1297" s="108">
        <f>Tabla12[[#This Row],[TRIMESTRE  I]]+Tabla12[[#This Row],[TRIMESTRE II]]+Tabla12[[#This Row],[TRIMESTRE III]]+Tabla12[[#This Row],[TRIMESTRE IV]]</f>
        <v>100</v>
      </c>
      <c r="O1297" s="39" t="s">
        <v>6</v>
      </c>
      <c r="P1297" s="79" t="s">
        <v>769</v>
      </c>
      <c r="Q1297" s="59" t="s">
        <v>776</v>
      </c>
    </row>
    <row r="1298" spans="2:17" s="106" customFormat="1" ht="27" x14ac:dyDescent="0.2">
      <c r="B1298" s="66">
        <v>1500</v>
      </c>
      <c r="C1298" s="67" t="s">
        <v>767</v>
      </c>
      <c r="D1298" s="37">
        <v>530</v>
      </c>
      <c r="E1298" s="42" t="str">
        <f>IF(D1298&lt;=0,"",VLOOKUP(D1298,[10]FF!A:D,2,0))</f>
        <v>PARTICIPACIONES Ramo 28</v>
      </c>
      <c r="F1298" s="37" t="s">
        <v>770</v>
      </c>
      <c r="G1298" s="37" t="s">
        <v>458</v>
      </c>
      <c r="H1298" s="37">
        <v>353001</v>
      </c>
      <c r="I1298" s="41" t="str">
        <f>IF(H1298&lt;=0,"",VLOOKUP(H1298,[10]COG!A:H,2,0))</f>
        <v>Instalación, reparación y mantenimiento de equipo de cómputo y tecnología  de la información</v>
      </c>
      <c r="J1298" s="39">
        <v>500</v>
      </c>
      <c r="K1298" s="39">
        <v>5425</v>
      </c>
      <c r="L1298" s="39">
        <v>5425</v>
      </c>
      <c r="M1298" s="39">
        <v>850</v>
      </c>
      <c r="N1298" s="108">
        <f>Tabla12[[#This Row],[TRIMESTRE  I]]+Tabla12[[#This Row],[TRIMESTRE II]]+Tabla12[[#This Row],[TRIMESTRE III]]+Tabla12[[#This Row],[TRIMESTRE IV]]</f>
        <v>12200</v>
      </c>
      <c r="O1298" s="39" t="s">
        <v>6</v>
      </c>
      <c r="P1298" s="79" t="s">
        <v>769</v>
      </c>
      <c r="Q1298" s="59" t="s">
        <v>776</v>
      </c>
    </row>
    <row r="1299" spans="2:17" s="106" customFormat="1" ht="27" x14ac:dyDescent="0.2">
      <c r="B1299" s="66">
        <v>1500</v>
      </c>
      <c r="C1299" s="67" t="s">
        <v>767</v>
      </c>
      <c r="D1299" s="37">
        <v>530</v>
      </c>
      <c r="E1299" s="42" t="str">
        <f>IF(D1299&lt;=0,"",VLOOKUP(D1299,[10]FF!A:D,2,0))</f>
        <v>PARTICIPACIONES Ramo 28</v>
      </c>
      <c r="F1299" s="37" t="s">
        <v>768</v>
      </c>
      <c r="G1299" s="37" t="s">
        <v>458</v>
      </c>
      <c r="H1299" s="37">
        <v>355001</v>
      </c>
      <c r="I1299" s="41" t="str">
        <f>IF(H1299&lt;=0,"",VLOOKUP(H1299,[10]COG!A:H,2,0))</f>
        <v>Mantto. y conservación de vehículos terrestres, aéreos, marítimos, lacustres y fluviales</v>
      </c>
      <c r="J1299" s="39">
        <v>10000</v>
      </c>
      <c r="K1299" s="39">
        <v>11609</v>
      </c>
      <c r="L1299" s="39">
        <v>10440</v>
      </c>
      <c r="M1299" s="39">
        <v>4120</v>
      </c>
      <c r="N1299" s="108">
        <f>Tabla12[[#This Row],[TRIMESTRE  I]]+Tabla12[[#This Row],[TRIMESTRE II]]+Tabla12[[#This Row],[TRIMESTRE III]]+Tabla12[[#This Row],[TRIMESTRE IV]]</f>
        <v>36169</v>
      </c>
      <c r="O1299" s="39" t="s">
        <v>6</v>
      </c>
      <c r="P1299" s="79" t="s">
        <v>769</v>
      </c>
      <c r="Q1299" s="59" t="s">
        <v>776</v>
      </c>
    </row>
    <row r="1300" spans="2:17" s="106" customFormat="1" ht="27" x14ac:dyDescent="0.2">
      <c r="B1300" s="66">
        <v>1500</v>
      </c>
      <c r="C1300" s="67" t="s">
        <v>767</v>
      </c>
      <c r="D1300" s="37">
        <v>530</v>
      </c>
      <c r="E1300" s="42" t="str">
        <f>IF(D1300&lt;=0,"",VLOOKUP(D1300,[10]FF!A:D,2,0))</f>
        <v>PARTICIPACIONES Ramo 28</v>
      </c>
      <c r="F1300" s="37" t="s">
        <v>770</v>
      </c>
      <c r="G1300" s="37" t="s">
        <v>458</v>
      </c>
      <c r="H1300" s="37">
        <v>355001</v>
      </c>
      <c r="I1300" s="41" t="str">
        <f>IF(H1300&lt;=0,"",VLOOKUP(H1300,[10]COG!A:H,2,0))</f>
        <v>Mantto. y conservación de vehículos terrestres, aéreos, marítimos, lacustres y fluviales</v>
      </c>
      <c r="J1300" s="39">
        <v>5000</v>
      </c>
      <c r="K1300" s="39">
        <v>4000</v>
      </c>
      <c r="L1300" s="39">
        <v>8200</v>
      </c>
      <c r="M1300" s="39">
        <v>8400</v>
      </c>
      <c r="N1300" s="108">
        <f>Tabla12[[#This Row],[TRIMESTRE  I]]+Tabla12[[#This Row],[TRIMESTRE II]]+Tabla12[[#This Row],[TRIMESTRE III]]+Tabla12[[#This Row],[TRIMESTRE IV]]</f>
        <v>25600</v>
      </c>
      <c r="O1300" s="39" t="s">
        <v>6</v>
      </c>
      <c r="P1300" s="79" t="s">
        <v>769</v>
      </c>
      <c r="Q1300" s="59" t="s">
        <v>776</v>
      </c>
    </row>
    <row r="1301" spans="2:17" s="106" customFormat="1" ht="27" x14ac:dyDescent="0.2">
      <c r="B1301" s="66">
        <v>1500</v>
      </c>
      <c r="C1301" s="67" t="s">
        <v>767</v>
      </c>
      <c r="D1301" s="37">
        <v>530</v>
      </c>
      <c r="E1301" s="42" t="str">
        <f>IF(D1301&lt;=0,"",VLOOKUP(D1301,[10]FF!A:D,2,0))</f>
        <v>PARTICIPACIONES Ramo 28</v>
      </c>
      <c r="F1301" s="37" t="s">
        <v>774</v>
      </c>
      <c r="G1301" s="37" t="s">
        <v>458</v>
      </c>
      <c r="H1301" s="37">
        <v>355001</v>
      </c>
      <c r="I1301" s="41" t="str">
        <f>IF(H1301&lt;=0,"",VLOOKUP(H1301,[10]COG!A:H,2,0))</f>
        <v>Mantto. y conservación de vehículos terrestres, aéreos, marítimos, lacustres y fluviales</v>
      </c>
      <c r="J1301" s="39">
        <v>120</v>
      </c>
      <c r="K1301" s="39">
        <v>580</v>
      </c>
      <c r="L1301" s="39">
        <v>380</v>
      </c>
      <c r="M1301" s="39">
        <v>4660</v>
      </c>
      <c r="N1301" s="108">
        <f>Tabla12[[#This Row],[TRIMESTRE  I]]+Tabla12[[#This Row],[TRIMESTRE II]]+Tabla12[[#This Row],[TRIMESTRE III]]+Tabla12[[#This Row],[TRIMESTRE IV]]</f>
        <v>5740</v>
      </c>
      <c r="O1301" s="39" t="s">
        <v>6</v>
      </c>
      <c r="P1301" s="79" t="s">
        <v>769</v>
      </c>
      <c r="Q1301" s="59" t="s">
        <v>776</v>
      </c>
    </row>
    <row r="1302" spans="2:17" s="106" customFormat="1" ht="22.5" x14ac:dyDescent="0.2">
      <c r="B1302" s="66">
        <v>1500</v>
      </c>
      <c r="C1302" s="67" t="s">
        <v>767</v>
      </c>
      <c r="D1302" s="37">
        <v>530</v>
      </c>
      <c r="E1302" s="42" t="str">
        <f>IF(D1302&lt;=0,"",VLOOKUP(D1302,[10]FF!A:D,2,0))</f>
        <v>PARTICIPACIONES Ramo 28</v>
      </c>
      <c r="F1302" s="37" t="s">
        <v>770</v>
      </c>
      <c r="G1302" s="37" t="s">
        <v>458</v>
      </c>
      <c r="H1302" s="37">
        <v>358001</v>
      </c>
      <c r="I1302" s="41" t="str">
        <f>IF(H1302&lt;=0,"",VLOOKUP(H1302,[10]COG!A:H,2,0))</f>
        <v>Servicios de higiene y limpieza</v>
      </c>
      <c r="J1302" s="39">
        <v>300</v>
      </c>
      <c r="K1302" s="39">
        <v>300</v>
      </c>
      <c r="L1302" s="39">
        <v>1100</v>
      </c>
      <c r="M1302" s="39">
        <v>0</v>
      </c>
      <c r="N1302" s="108">
        <f>Tabla12[[#This Row],[TRIMESTRE  I]]+Tabla12[[#This Row],[TRIMESTRE II]]+Tabla12[[#This Row],[TRIMESTRE III]]+Tabla12[[#This Row],[TRIMESTRE IV]]</f>
        <v>1700</v>
      </c>
      <c r="O1302" s="39" t="s">
        <v>6</v>
      </c>
      <c r="P1302" s="79" t="s">
        <v>769</v>
      </c>
      <c r="Q1302" s="59" t="s">
        <v>776</v>
      </c>
    </row>
    <row r="1303" spans="2:17" s="106" customFormat="1" ht="22.5" x14ac:dyDescent="0.2">
      <c r="B1303" s="66">
        <v>1500</v>
      </c>
      <c r="C1303" s="67" t="s">
        <v>767</v>
      </c>
      <c r="D1303" s="37">
        <v>530</v>
      </c>
      <c r="E1303" s="42" t="str">
        <f>IF(D1303&lt;=0,"",VLOOKUP(D1303,[10]FF!A:D,2,0))</f>
        <v>PARTICIPACIONES Ramo 28</v>
      </c>
      <c r="F1303" s="37" t="s">
        <v>770</v>
      </c>
      <c r="G1303" s="37" t="s">
        <v>458</v>
      </c>
      <c r="H1303" s="37">
        <v>359001</v>
      </c>
      <c r="I1303" s="41" t="str">
        <f>IF(H1303&lt;=0,"",VLOOKUP(H1303,[10]COG!A:H,2,0))</f>
        <v>Árboles, plantas, semillas y abonos</v>
      </c>
      <c r="J1303" s="39">
        <v>100</v>
      </c>
      <c r="K1303" s="39">
        <v>0</v>
      </c>
      <c r="L1303" s="39">
        <v>80</v>
      </c>
      <c r="M1303" s="39">
        <v>0</v>
      </c>
      <c r="N1303" s="108">
        <f>Tabla12[[#This Row],[TRIMESTRE  I]]+Tabla12[[#This Row],[TRIMESTRE II]]+Tabla12[[#This Row],[TRIMESTRE III]]+Tabla12[[#This Row],[TRIMESTRE IV]]</f>
        <v>180</v>
      </c>
      <c r="O1303" s="39" t="s">
        <v>6</v>
      </c>
      <c r="P1303" s="79" t="s">
        <v>769</v>
      </c>
      <c r="Q1303" s="59" t="s">
        <v>776</v>
      </c>
    </row>
    <row r="1304" spans="2:17" s="106" customFormat="1" ht="22.5" x14ac:dyDescent="0.2">
      <c r="B1304" s="66">
        <v>1500</v>
      </c>
      <c r="C1304" s="67" t="s">
        <v>767</v>
      </c>
      <c r="D1304" s="37">
        <v>530</v>
      </c>
      <c r="E1304" s="42" t="str">
        <f>IF(D1304&lt;=0,"",VLOOKUP(D1304,[10]FF!A:D,2,0))</f>
        <v>PARTICIPACIONES Ramo 28</v>
      </c>
      <c r="F1304" s="37" t="s">
        <v>768</v>
      </c>
      <c r="G1304" s="37" t="s">
        <v>458</v>
      </c>
      <c r="H1304" s="37">
        <v>358002</v>
      </c>
      <c r="I1304" s="41" t="str">
        <f>IF(H1304&lt;=0,"",VLOOKUP(H1304,[10]COG!A:H,2,0))</f>
        <v>Servicios de Limpieza y Lavado de Vehículos</v>
      </c>
      <c r="J1304" s="39">
        <v>8890</v>
      </c>
      <c r="K1304" s="39">
        <v>13550</v>
      </c>
      <c r="L1304" s="39">
        <v>8580</v>
      </c>
      <c r="M1304" s="39">
        <v>7000</v>
      </c>
      <c r="N1304" s="108">
        <f>Tabla12[[#This Row],[TRIMESTRE  I]]+Tabla12[[#This Row],[TRIMESTRE II]]+Tabla12[[#This Row],[TRIMESTRE III]]+Tabla12[[#This Row],[TRIMESTRE IV]]</f>
        <v>38020</v>
      </c>
      <c r="O1304" s="39" t="s">
        <v>6</v>
      </c>
      <c r="P1304" s="79" t="s">
        <v>769</v>
      </c>
      <c r="Q1304" s="59" t="s">
        <v>776</v>
      </c>
    </row>
    <row r="1305" spans="2:17" s="106" customFormat="1" ht="22.5" x14ac:dyDescent="0.2">
      <c r="B1305" s="66">
        <v>1500</v>
      </c>
      <c r="C1305" s="67" t="s">
        <v>767</v>
      </c>
      <c r="D1305" s="37">
        <v>530</v>
      </c>
      <c r="E1305" s="42" t="str">
        <f>IF(D1305&lt;=0,"",VLOOKUP(D1305,[10]FF!A:D,2,0))</f>
        <v>PARTICIPACIONES Ramo 28</v>
      </c>
      <c r="F1305" s="37" t="s">
        <v>768</v>
      </c>
      <c r="G1305" s="37" t="s">
        <v>458</v>
      </c>
      <c r="H1305" s="37">
        <v>361002</v>
      </c>
      <c r="I1305" s="41" t="str">
        <f>IF(H1305&lt;=0,"",VLOOKUP(H1305,[10]COG!A:H,2,0))</f>
        <v>Impresiones y publicaciones oficiales</v>
      </c>
      <c r="J1305" s="39">
        <v>200</v>
      </c>
      <c r="K1305" s="39">
        <v>200</v>
      </c>
      <c r="L1305" s="39">
        <v>555</v>
      </c>
      <c r="M1305" s="39">
        <v>200</v>
      </c>
      <c r="N1305" s="108">
        <f>Tabla12[[#This Row],[TRIMESTRE  I]]+Tabla12[[#This Row],[TRIMESTRE II]]+Tabla12[[#This Row],[TRIMESTRE III]]+Tabla12[[#This Row],[TRIMESTRE IV]]</f>
        <v>1155</v>
      </c>
      <c r="O1305" s="39" t="s">
        <v>6</v>
      </c>
      <c r="P1305" s="79" t="s">
        <v>769</v>
      </c>
      <c r="Q1305" s="59" t="s">
        <v>776</v>
      </c>
    </row>
    <row r="1306" spans="2:17" s="106" customFormat="1" ht="22.5" x14ac:dyDescent="0.2">
      <c r="B1306" s="66">
        <v>1500</v>
      </c>
      <c r="C1306" s="67" t="s">
        <v>767</v>
      </c>
      <c r="D1306" s="37">
        <v>530</v>
      </c>
      <c r="E1306" s="42" t="str">
        <f>IF(D1306&lt;=0,"",VLOOKUP(D1306,[10]FF!A:D,2,0))</f>
        <v>PARTICIPACIONES Ramo 28</v>
      </c>
      <c r="F1306" s="37" t="s">
        <v>770</v>
      </c>
      <c r="G1306" s="37" t="s">
        <v>458</v>
      </c>
      <c r="H1306" s="37">
        <v>361002</v>
      </c>
      <c r="I1306" s="41" t="str">
        <f>IF(H1306&lt;=0,"",VLOOKUP(H1306,[10]COG!A:H,2,0))</f>
        <v>Impresiones y publicaciones oficiales</v>
      </c>
      <c r="J1306" s="39">
        <v>1000</v>
      </c>
      <c r="K1306" s="39">
        <v>850</v>
      </c>
      <c r="L1306" s="39">
        <v>1550</v>
      </c>
      <c r="M1306" s="39">
        <v>0</v>
      </c>
      <c r="N1306" s="108">
        <f>Tabla12[[#This Row],[TRIMESTRE  I]]+Tabla12[[#This Row],[TRIMESTRE II]]+Tabla12[[#This Row],[TRIMESTRE III]]+Tabla12[[#This Row],[TRIMESTRE IV]]</f>
        <v>3400</v>
      </c>
      <c r="O1306" s="39" t="s">
        <v>6</v>
      </c>
      <c r="P1306" s="79" t="s">
        <v>769</v>
      </c>
      <c r="Q1306" s="59" t="s">
        <v>776</v>
      </c>
    </row>
    <row r="1307" spans="2:17" s="106" customFormat="1" ht="22.5" x14ac:dyDescent="0.2">
      <c r="B1307" s="66">
        <v>1500</v>
      </c>
      <c r="C1307" s="67" t="s">
        <v>767</v>
      </c>
      <c r="D1307" s="37">
        <v>530</v>
      </c>
      <c r="E1307" s="42" t="str">
        <f>IF(D1307&lt;=0,"",VLOOKUP(D1307,[10]FF!A:D,2,0))</f>
        <v>PARTICIPACIONES Ramo 28</v>
      </c>
      <c r="F1307" s="37" t="s">
        <v>773</v>
      </c>
      <c r="G1307" s="37" t="s">
        <v>458</v>
      </c>
      <c r="H1307" s="37">
        <v>361002</v>
      </c>
      <c r="I1307" s="41" t="str">
        <f>IF(H1307&lt;=0,"",VLOOKUP(H1307,[10]COG!A:H,2,0))</f>
        <v>Impresiones y publicaciones oficiales</v>
      </c>
      <c r="J1307" s="39">
        <v>0</v>
      </c>
      <c r="K1307" s="39">
        <v>4250</v>
      </c>
      <c r="L1307" s="39">
        <v>4250</v>
      </c>
      <c r="M1307" s="39">
        <v>0</v>
      </c>
      <c r="N1307" s="108">
        <f>Tabla12[[#This Row],[TRIMESTRE  I]]+Tabla12[[#This Row],[TRIMESTRE II]]+Tabla12[[#This Row],[TRIMESTRE III]]+Tabla12[[#This Row],[TRIMESTRE IV]]</f>
        <v>8500</v>
      </c>
      <c r="O1307" s="39" t="s">
        <v>6</v>
      </c>
      <c r="P1307" s="79" t="s">
        <v>769</v>
      </c>
      <c r="Q1307" s="59" t="s">
        <v>776</v>
      </c>
    </row>
    <row r="1308" spans="2:17" s="106" customFormat="1" ht="22.5" x14ac:dyDescent="0.2">
      <c r="B1308" s="66">
        <v>1500</v>
      </c>
      <c r="C1308" s="67" t="s">
        <v>767</v>
      </c>
      <c r="D1308" s="37">
        <v>530</v>
      </c>
      <c r="E1308" s="42" t="str">
        <f>IF(D1308&lt;=0,"",VLOOKUP(D1308,[10]FF!A:D,2,0))</f>
        <v>PARTICIPACIONES Ramo 28</v>
      </c>
      <c r="F1308" s="37" t="s">
        <v>774</v>
      </c>
      <c r="G1308" s="37" t="s">
        <v>458</v>
      </c>
      <c r="H1308" s="37">
        <v>361002</v>
      </c>
      <c r="I1308" s="41" t="str">
        <f>IF(H1308&lt;=0,"",VLOOKUP(H1308,[10]COG!A:H,2,0))</f>
        <v>Impresiones y publicaciones oficiales</v>
      </c>
      <c r="J1308" s="39">
        <v>340</v>
      </c>
      <c r="K1308" s="39">
        <v>270</v>
      </c>
      <c r="L1308" s="39">
        <v>370</v>
      </c>
      <c r="M1308" s="39">
        <v>340</v>
      </c>
      <c r="N1308" s="108">
        <f>Tabla12[[#This Row],[TRIMESTRE  I]]+Tabla12[[#This Row],[TRIMESTRE II]]+Tabla12[[#This Row],[TRIMESTRE III]]+Tabla12[[#This Row],[TRIMESTRE IV]]</f>
        <v>1320</v>
      </c>
      <c r="O1308" s="39" t="s">
        <v>6</v>
      </c>
      <c r="P1308" s="79" t="s">
        <v>769</v>
      </c>
      <c r="Q1308" s="59" t="s">
        <v>776</v>
      </c>
    </row>
    <row r="1309" spans="2:17" s="106" customFormat="1" ht="22.5" x14ac:dyDescent="0.2">
      <c r="B1309" s="66">
        <v>1500</v>
      </c>
      <c r="C1309" s="67" t="s">
        <v>767</v>
      </c>
      <c r="D1309" s="37">
        <v>530</v>
      </c>
      <c r="E1309" s="42" t="str">
        <f>IF(D1309&lt;=0,"",VLOOKUP(D1309,[10]FF!A:D,2,0))</f>
        <v>PARTICIPACIONES Ramo 28</v>
      </c>
      <c r="F1309" s="37" t="s">
        <v>768</v>
      </c>
      <c r="G1309" s="37" t="s">
        <v>458</v>
      </c>
      <c r="H1309" s="37">
        <v>364001</v>
      </c>
      <c r="I1309" s="41" t="str">
        <f>IF(H1309&lt;=0,"",VLOOKUP(H1309,[10]COG!A:H,2,0))</f>
        <v>Revelado de Fotografías</v>
      </c>
      <c r="J1309" s="39">
        <v>100</v>
      </c>
      <c r="K1309" s="39">
        <v>100</v>
      </c>
      <c r="L1309" s="39">
        <v>0</v>
      </c>
      <c r="M1309" s="39">
        <v>235</v>
      </c>
      <c r="N1309" s="108">
        <f>Tabla12[[#This Row],[TRIMESTRE  I]]+Tabla12[[#This Row],[TRIMESTRE II]]+Tabla12[[#This Row],[TRIMESTRE III]]+Tabla12[[#This Row],[TRIMESTRE IV]]</f>
        <v>435</v>
      </c>
      <c r="O1309" s="39" t="s">
        <v>6</v>
      </c>
      <c r="P1309" s="79" t="s">
        <v>769</v>
      </c>
      <c r="Q1309" s="59" t="s">
        <v>776</v>
      </c>
    </row>
    <row r="1310" spans="2:17" s="106" customFormat="1" ht="22.5" x14ac:dyDescent="0.2">
      <c r="B1310" s="66">
        <v>1500</v>
      </c>
      <c r="C1310" s="67" t="s">
        <v>767</v>
      </c>
      <c r="D1310" s="37">
        <v>530</v>
      </c>
      <c r="E1310" s="42" t="str">
        <f>IF(D1310&lt;=0,"",VLOOKUP(D1310,[10]FF!A:D,2,0))</f>
        <v>PARTICIPACIONES Ramo 28</v>
      </c>
      <c r="F1310" s="37" t="s">
        <v>774</v>
      </c>
      <c r="G1310" s="37" t="s">
        <v>458</v>
      </c>
      <c r="H1310" s="37">
        <v>364001</v>
      </c>
      <c r="I1310" s="41" t="str">
        <f>IF(H1310&lt;=0,"",VLOOKUP(H1310,[10]COG!A:H,2,0))</f>
        <v>Revelado de Fotografías</v>
      </c>
      <c r="J1310" s="39">
        <v>170</v>
      </c>
      <c r="K1310" s="39">
        <v>170</v>
      </c>
      <c r="L1310" s="39">
        <v>0</v>
      </c>
      <c r="M1310" s="39">
        <v>0</v>
      </c>
      <c r="N1310" s="108">
        <f>Tabla12[[#This Row],[TRIMESTRE  I]]+Tabla12[[#This Row],[TRIMESTRE II]]+Tabla12[[#This Row],[TRIMESTRE III]]+Tabla12[[#This Row],[TRIMESTRE IV]]</f>
        <v>340</v>
      </c>
      <c r="O1310" s="39" t="s">
        <v>6</v>
      </c>
      <c r="P1310" s="79" t="s">
        <v>769</v>
      </c>
      <c r="Q1310" s="59" t="s">
        <v>776</v>
      </c>
    </row>
    <row r="1311" spans="2:17" s="106" customFormat="1" ht="22.5" x14ac:dyDescent="0.2">
      <c r="B1311" s="66">
        <v>1500</v>
      </c>
      <c r="C1311" s="67" t="s">
        <v>767</v>
      </c>
      <c r="D1311" s="37">
        <v>530</v>
      </c>
      <c r="E1311" s="42" t="str">
        <f>IF(D1311&lt;=0,"",VLOOKUP(D1311,[10]FF!A:D,2,0))</f>
        <v>PARTICIPACIONES Ramo 28</v>
      </c>
      <c r="F1311" s="37" t="s">
        <v>768</v>
      </c>
      <c r="G1311" s="37" t="s">
        <v>458</v>
      </c>
      <c r="H1311" s="37">
        <v>371001</v>
      </c>
      <c r="I1311" s="41" t="str">
        <f>IF(H1311&lt;=0,"",VLOOKUP(H1311,[10]COG!A:H,2,0))</f>
        <v>Pasajes aéreos</v>
      </c>
      <c r="J1311" s="39">
        <v>2550</v>
      </c>
      <c r="K1311" s="39">
        <v>0</v>
      </c>
      <c r="L1311" s="39">
        <v>2520</v>
      </c>
      <c r="M1311" s="39">
        <v>0</v>
      </c>
      <c r="N1311" s="108">
        <f>Tabla12[[#This Row],[TRIMESTRE  I]]+Tabla12[[#This Row],[TRIMESTRE II]]+Tabla12[[#This Row],[TRIMESTRE III]]+Tabla12[[#This Row],[TRIMESTRE IV]]</f>
        <v>5070</v>
      </c>
      <c r="O1311" s="39" t="s">
        <v>6</v>
      </c>
      <c r="P1311" s="79" t="s">
        <v>769</v>
      </c>
      <c r="Q1311" s="59" t="s">
        <v>776</v>
      </c>
    </row>
    <row r="1312" spans="2:17" s="106" customFormat="1" ht="22.5" x14ac:dyDescent="0.2">
      <c r="B1312" s="66">
        <v>1500</v>
      </c>
      <c r="C1312" s="67" t="s">
        <v>767</v>
      </c>
      <c r="D1312" s="37">
        <v>530</v>
      </c>
      <c r="E1312" s="42" t="str">
        <f>IF(D1312&lt;=0,"",VLOOKUP(D1312,[10]FF!A:D,2,0))</f>
        <v>PARTICIPACIONES Ramo 28</v>
      </c>
      <c r="F1312" s="37" t="s">
        <v>770</v>
      </c>
      <c r="G1312" s="37" t="s">
        <v>458</v>
      </c>
      <c r="H1312" s="37">
        <v>371001</v>
      </c>
      <c r="I1312" s="41" t="str">
        <f>IF(H1312&lt;=0,"",VLOOKUP(H1312,[10]COG!A:H,2,0))</f>
        <v>Pasajes aéreos</v>
      </c>
      <c r="J1312" s="39">
        <v>1700</v>
      </c>
      <c r="K1312" s="39">
        <v>0</v>
      </c>
      <c r="L1312" s="39">
        <v>0</v>
      </c>
      <c r="M1312" s="39">
        <v>0</v>
      </c>
      <c r="N1312" s="108">
        <f>Tabla12[[#This Row],[TRIMESTRE  I]]+Tabla12[[#This Row],[TRIMESTRE II]]+Tabla12[[#This Row],[TRIMESTRE III]]+Tabla12[[#This Row],[TRIMESTRE IV]]</f>
        <v>1700</v>
      </c>
      <c r="O1312" s="39" t="s">
        <v>6</v>
      </c>
      <c r="P1312" s="79" t="s">
        <v>769</v>
      </c>
      <c r="Q1312" s="59" t="s">
        <v>776</v>
      </c>
    </row>
    <row r="1313" spans="2:17" s="106" customFormat="1" ht="22.5" x14ac:dyDescent="0.2">
      <c r="B1313" s="66">
        <v>1500</v>
      </c>
      <c r="C1313" s="67" t="s">
        <v>767</v>
      </c>
      <c r="D1313" s="37">
        <v>530</v>
      </c>
      <c r="E1313" s="42" t="str">
        <f>IF(D1313&lt;=0,"",VLOOKUP(D1313,[10]FF!A:D,2,0))</f>
        <v>PARTICIPACIONES Ramo 28</v>
      </c>
      <c r="F1313" s="37" t="s">
        <v>773</v>
      </c>
      <c r="G1313" s="37" t="s">
        <v>458</v>
      </c>
      <c r="H1313" s="37">
        <v>371001</v>
      </c>
      <c r="I1313" s="41" t="str">
        <f>IF(H1313&lt;=0,"",VLOOKUP(H1313,[10]COG!A:H,2,0))</f>
        <v>Pasajes aéreos</v>
      </c>
      <c r="J1313" s="39">
        <v>0</v>
      </c>
      <c r="K1313" s="39">
        <v>500</v>
      </c>
      <c r="L1313" s="39">
        <v>0</v>
      </c>
      <c r="M1313" s="39">
        <v>0</v>
      </c>
      <c r="N1313" s="108">
        <f>Tabla12[[#This Row],[TRIMESTRE  I]]+Tabla12[[#This Row],[TRIMESTRE II]]+Tabla12[[#This Row],[TRIMESTRE III]]+Tabla12[[#This Row],[TRIMESTRE IV]]</f>
        <v>500</v>
      </c>
      <c r="O1313" s="39" t="s">
        <v>6</v>
      </c>
      <c r="P1313" s="79" t="s">
        <v>769</v>
      </c>
      <c r="Q1313" s="59" t="s">
        <v>776</v>
      </c>
    </row>
    <row r="1314" spans="2:17" s="106" customFormat="1" ht="22.5" x14ac:dyDescent="0.2">
      <c r="B1314" s="66">
        <v>1500</v>
      </c>
      <c r="C1314" s="67" t="s">
        <v>767</v>
      </c>
      <c r="D1314" s="37">
        <v>530</v>
      </c>
      <c r="E1314" s="42" t="str">
        <f>IF(D1314&lt;=0,"",VLOOKUP(D1314,[10]FF!A:D,2,0))</f>
        <v>PARTICIPACIONES Ramo 28</v>
      </c>
      <c r="F1314" s="37" t="s">
        <v>774</v>
      </c>
      <c r="G1314" s="37" t="s">
        <v>458</v>
      </c>
      <c r="H1314" s="37">
        <v>371001</v>
      </c>
      <c r="I1314" s="41" t="str">
        <f>IF(H1314&lt;=0,"",VLOOKUP(H1314,[10]COG!A:H,2,0))</f>
        <v>Pasajes aéreos</v>
      </c>
      <c r="J1314" s="39">
        <v>1300</v>
      </c>
      <c r="K1314" s="39">
        <v>0</v>
      </c>
      <c r="L1314" s="39">
        <v>1140</v>
      </c>
      <c r="M1314" s="39">
        <v>0</v>
      </c>
      <c r="N1314" s="108">
        <f>Tabla12[[#This Row],[TRIMESTRE  I]]+Tabla12[[#This Row],[TRIMESTRE II]]+Tabla12[[#This Row],[TRIMESTRE III]]+Tabla12[[#This Row],[TRIMESTRE IV]]</f>
        <v>2440</v>
      </c>
      <c r="O1314" s="39" t="s">
        <v>6</v>
      </c>
      <c r="P1314" s="79" t="s">
        <v>769</v>
      </c>
      <c r="Q1314" s="59" t="s">
        <v>776</v>
      </c>
    </row>
    <row r="1315" spans="2:17" s="106" customFormat="1" ht="22.5" x14ac:dyDescent="0.2">
      <c r="B1315" s="66">
        <v>1500</v>
      </c>
      <c r="C1315" s="67" t="s">
        <v>767</v>
      </c>
      <c r="D1315" s="37">
        <v>530</v>
      </c>
      <c r="E1315" s="42" t="str">
        <f>IF(D1315&lt;=0,"",VLOOKUP(D1315,[10]FF!A:D,2,0))</f>
        <v>PARTICIPACIONES Ramo 28</v>
      </c>
      <c r="F1315" s="37" t="s">
        <v>771</v>
      </c>
      <c r="G1315" s="37" t="s">
        <v>458</v>
      </c>
      <c r="H1315" s="37">
        <v>372001</v>
      </c>
      <c r="I1315" s="41" t="str">
        <f>IF(H1315&lt;=0,"",VLOOKUP(H1315,[10]COG!A:H,2,0))</f>
        <v>Pasajes terrestres</v>
      </c>
      <c r="J1315" s="39">
        <v>425</v>
      </c>
      <c r="K1315" s="39">
        <v>1275</v>
      </c>
      <c r="L1315" s="39">
        <v>595</v>
      </c>
      <c r="M1315" s="39">
        <v>850</v>
      </c>
      <c r="N1315" s="108">
        <f>Tabla12[[#This Row],[TRIMESTRE  I]]+Tabla12[[#This Row],[TRIMESTRE II]]+Tabla12[[#This Row],[TRIMESTRE III]]+Tabla12[[#This Row],[TRIMESTRE IV]]</f>
        <v>3145</v>
      </c>
      <c r="O1315" s="39" t="s">
        <v>6</v>
      </c>
      <c r="P1315" s="79" t="s">
        <v>769</v>
      </c>
      <c r="Q1315" s="59" t="s">
        <v>776</v>
      </c>
    </row>
    <row r="1316" spans="2:17" s="106" customFormat="1" ht="22.5" x14ac:dyDescent="0.2">
      <c r="B1316" s="66">
        <v>1500</v>
      </c>
      <c r="C1316" s="67" t="s">
        <v>767</v>
      </c>
      <c r="D1316" s="37">
        <v>530</v>
      </c>
      <c r="E1316" s="42" t="str">
        <f>IF(D1316&lt;=0,"",VLOOKUP(D1316,[10]FF!A:D,2,0))</f>
        <v>PARTICIPACIONES Ramo 28</v>
      </c>
      <c r="F1316" s="37" t="s">
        <v>768</v>
      </c>
      <c r="G1316" s="37" t="s">
        <v>458</v>
      </c>
      <c r="H1316" s="37">
        <v>375001</v>
      </c>
      <c r="I1316" s="41" t="str">
        <f>IF(H1316&lt;=0,"",VLOOKUP(H1316,[10]COG!A:H,2,0))</f>
        <v>Viáticos</v>
      </c>
      <c r="J1316" s="39">
        <v>5000</v>
      </c>
      <c r="K1316" s="39">
        <v>8510</v>
      </c>
      <c r="L1316" s="39">
        <v>6010</v>
      </c>
      <c r="M1316" s="39">
        <v>8000</v>
      </c>
      <c r="N1316" s="108">
        <f>Tabla12[[#This Row],[TRIMESTRE  I]]+Tabla12[[#This Row],[TRIMESTRE II]]+Tabla12[[#This Row],[TRIMESTRE III]]+Tabla12[[#This Row],[TRIMESTRE IV]]</f>
        <v>27520</v>
      </c>
      <c r="O1316" s="39" t="s">
        <v>6</v>
      </c>
      <c r="P1316" s="79" t="s">
        <v>769</v>
      </c>
      <c r="Q1316" s="59" t="s">
        <v>776</v>
      </c>
    </row>
    <row r="1317" spans="2:17" s="106" customFormat="1" ht="22.5" x14ac:dyDescent="0.2">
      <c r="B1317" s="66">
        <v>1500</v>
      </c>
      <c r="C1317" s="67" t="s">
        <v>767</v>
      </c>
      <c r="D1317" s="37">
        <v>530</v>
      </c>
      <c r="E1317" s="42" t="str">
        <f>IF(D1317&lt;=0,"",VLOOKUP(D1317,[10]FF!A:D,2,0))</f>
        <v>PARTICIPACIONES Ramo 28</v>
      </c>
      <c r="F1317" s="37" t="s">
        <v>770</v>
      </c>
      <c r="G1317" s="37" t="s">
        <v>458</v>
      </c>
      <c r="H1317" s="37">
        <v>375001</v>
      </c>
      <c r="I1317" s="41" t="str">
        <f>IF(H1317&lt;=0,"",VLOOKUP(H1317,[10]COG!A:H,2,0))</f>
        <v>Viáticos</v>
      </c>
      <c r="J1317" s="39">
        <v>2550</v>
      </c>
      <c r="K1317" s="39">
        <v>8700</v>
      </c>
      <c r="L1317" s="39">
        <v>6275</v>
      </c>
      <c r="M1317" s="39">
        <v>1275</v>
      </c>
      <c r="N1317" s="108">
        <f>Tabla12[[#This Row],[TRIMESTRE  I]]+Tabla12[[#This Row],[TRIMESTRE II]]+Tabla12[[#This Row],[TRIMESTRE III]]+Tabla12[[#This Row],[TRIMESTRE IV]]</f>
        <v>18800</v>
      </c>
      <c r="O1317" s="39" t="s">
        <v>6</v>
      </c>
      <c r="P1317" s="79" t="s">
        <v>769</v>
      </c>
      <c r="Q1317" s="59" t="s">
        <v>776</v>
      </c>
    </row>
    <row r="1318" spans="2:17" s="106" customFormat="1" ht="22.5" x14ac:dyDescent="0.2">
      <c r="B1318" s="66">
        <v>1500</v>
      </c>
      <c r="C1318" s="67" t="s">
        <v>767</v>
      </c>
      <c r="D1318" s="37">
        <v>530</v>
      </c>
      <c r="E1318" s="42" t="str">
        <f>IF(D1318&lt;=0,"",VLOOKUP(D1318,[10]FF!A:D,2,0))</f>
        <v>PARTICIPACIONES Ramo 28</v>
      </c>
      <c r="F1318" s="37" t="s">
        <v>771</v>
      </c>
      <c r="G1318" s="37" t="s">
        <v>458</v>
      </c>
      <c r="H1318" s="37">
        <v>375001</v>
      </c>
      <c r="I1318" s="41" t="str">
        <f>IF(H1318&lt;=0,"",VLOOKUP(H1318,[10]COG!A:H,2,0))</f>
        <v>Viáticos</v>
      </c>
      <c r="J1318" s="39">
        <v>1500</v>
      </c>
      <c r="K1318" s="39">
        <v>2000</v>
      </c>
      <c r="L1318" s="39">
        <v>7000</v>
      </c>
      <c r="M1318" s="39">
        <v>0</v>
      </c>
      <c r="N1318" s="108">
        <f>Tabla12[[#This Row],[TRIMESTRE  I]]+Tabla12[[#This Row],[TRIMESTRE II]]+Tabla12[[#This Row],[TRIMESTRE III]]+Tabla12[[#This Row],[TRIMESTRE IV]]</f>
        <v>10500</v>
      </c>
      <c r="O1318" s="39" t="s">
        <v>6</v>
      </c>
      <c r="P1318" s="79" t="s">
        <v>769</v>
      </c>
      <c r="Q1318" s="59" t="s">
        <v>776</v>
      </c>
    </row>
    <row r="1319" spans="2:17" s="106" customFormat="1" ht="22.5" x14ac:dyDescent="0.2">
      <c r="B1319" s="66">
        <v>1500</v>
      </c>
      <c r="C1319" s="67" t="s">
        <v>767</v>
      </c>
      <c r="D1319" s="37">
        <v>530</v>
      </c>
      <c r="E1319" s="42" t="str">
        <f>IF(D1319&lt;=0,"",VLOOKUP(D1319,[10]FF!A:D,2,0))</f>
        <v>PARTICIPACIONES Ramo 28</v>
      </c>
      <c r="F1319" s="37" t="s">
        <v>773</v>
      </c>
      <c r="G1319" s="37" t="s">
        <v>458</v>
      </c>
      <c r="H1319" s="37">
        <v>375001</v>
      </c>
      <c r="I1319" s="41" t="str">
        <f>IF(H1319&lt;=0,"",VLOOKUP(H1319,[10]COG!A:H,2,0))</f>
        <v>Viáticos</v>
      </c>
      <c r="J1319" s="39">
        <v>1000</v>
      </c>
      <c r="K1319" s="39">
        <v>2700</v>
      </c>
      <c r="L1319" s="39">
        <v>1700</v>
      </c>
      <c r="M1319" s="39">
        <v>1700</v>
      </c>
      <c r="N1319" s="108">
        <f>Tabla12[[#This Row],[TRIMESTRE  I]]+Tabla12[[#This Row],[TRIMESTRE II]]+Tabla12[[#This Row],[TRIMESTRE III]]+Tabla12[[#This Row],[TRIMESTRE IV]]</f>
        <v>7100</v>
      </c>
      <c r="O1319" s="39" t="s">
        <v>6</v>
      </c>
      <c r="P1319" s="79" t="s">
        <v>769</v>
      </c>
      <c r="Q1319" s="59" t="s">
        <v>776</v>
      </c>
    </row>
    <row r="1320" spans="2:17" s="106" customFormat="1" ht="22.5" x14ac:dyDescent="0.2">
      <c r="B1320" s="66">
        <v>1500</v>
      </c>
      <c r="C1320" s="67" t="s">
        <v>767</v>
      </c>
      <c r="D1320" s="37">
        <v>530</v>
      </c>
      <c r="E1320" s="42" t="str">
        <f>IF(D1320&lt;=0,"",VLOOKUP(D1320,[10]FF!A:D,2,0))</f>
        <v>PARTICIPACIONES Ramo 28</v>
      </c>
      <c r="F1320" s="37" t="s">
        <v>774</v>
      </c>
      <c r="G1320" s="37" t="s">
        <v>458</v>
      </c>
      <c r="H1320" s="37">
        <v>375001</v>
      </c>
      <c r="I1320" s="41" t="str">
        <f>IF(H1320&lt;=0,"",VLOOKUP(H1320,[10]COG!A:H,2,0))</f>
        <v>Viáticos</v>
      </c>
      <c r="J1320" s="39">
        <v>4500</v>
      </c>
      <c r="K1320" s="39">
        <v>3340</v>
      </c>
      <c r="L1320" s="39">
        <v>1080</v>
      </c>
      <c r="M1320" s="39">
        <v>0</v>
      </c>
      <c r="N1320" s="108">
        <f>Tabla12[[#This Row],[TRIMESTRE  I]]+Tabla12[[#This Row],[TRIMESTRE II]]+Tabla12[[#This Row],[TRIMESTRE III]]+Tabla12[[#This Row],[TRIMESTRE IV]]</f>
        <v>8920</v>
      </c>
      <c r="O1320" s="39" t="s">
        <v>6</v>
      </c>
      <c r="P1320" s="79" t="s">
        <v>769</v>
      </c>
      <c r="Q1320" s="59" t="s">
        <v>776</v>
      </c>
    </row>
    <row r="1321" spans="2:17" s="106" customFormat="1" ht="22.5" x14ac:dyDescent="0.2">
      <c r="B1321" s="66">
        <v>1500</v>
      </c>
      <c r="C1321" s="67" t="s">
        <v>767</v>
      </c>
      <c r="D1321" s="37">
        <v>530</v>
      </c>
      <c r="E1321" s="42" t="str">
        <f>IF(D1321&lt;=0,"",VLOOKUP(D1321,[10]FF!A:D,2,0))</f>
        <v>PARTICIPACIONES Ramo 28</v>
      </c>
      <c r="F1321" s="37" t="s">
        <v>775</v>
      </c>
      <c r="G1321" s="37" t="s">
        <v>458</v>
      </c>
      <c r="H1321" s="37">
        <v>375001</v>
      </c>
      <c r="I1321" s="41" t="str">
        <f>IF(H1321&lt;=0,"",VLOOKUP(H1321,[10]COG!A:H,2,0))</f>
        <v>Viáticos</v>
      </c>
      <c r="J1321" s="39">
        <v>5400</v>
      </c>
      <c r="K1321" s="39">
        <v>8000</v>
      </c>
      <c r="L1321" s="39">
        <v>7000</v>
      </c>
      <c r="M1321" s="39">
        <v>8000</v>
      </c>
      <c r="N1321" s="108">
        <f>Tabla12[[#This Row],[TRIMESTRE  I]]+Tabla12[[#This Row],[TRIMESTRE II]]+Tabla12[[#This Row],[TRIMESTRE III]]+Tabla12[[#This Row],[TRIMESTRE IV]]</f>
        <v>28400</v>
      </c>
      <c r="O1321" s="39" t="s">
        <v>6</v>
      </c>
      <c r="P1321" s="79" t="s">
        <v>769</v>
      </c>
      <c r="Q1321" s="59" t="s">
        <v>776</v>
      </c>
    </row>
    <row r="1322" spans="2:17" s="106" customFormat="1" ht="22.5" x14ac:dyDescent="0.2">
      <c r="B1322" s="66">
        <v>1500</v>
      </c>
      <c r="C1322" s="67" t="s">
        <v>767</v>
      </c>
      <c r="D1322" s="37">
        <v>530</v>
      </c>
      <c r="E1322" s="42" t="str">
        <f>IF(D1322&lt;=0,"",VLOOKUP(D1322,[10]FF!A:D,2,0))</f>
        <v>PARTICIPACIONES Ramo 28</v>
      </c>
      <c r="F1322" s="37" t="s">
        <v>768</v>
      </c>
      <c r="G1322" s="37" t="s">
        <v>458</v>
      </c>
      <c r="H1322" s="37">
        <v>382002</v>
      </c>
      <c r="I1322" s="41" t="str">
        <f>IF(H1322&lt;=0,"",VLOOKUP(H1322,[10]COG!A:H,2,0))</f>
        <v>Gastos de recepción, conmemorativos y de orden social</v>
      </c>
      <c r="J1322" s="39">
        <v>0</v>
      </c>
      <c r="K1322" s="39">
        <v>1200</v>
      </c>
      <c r="L1322" s="39">
        <v>0</v>
      </c>
      <c r="M1322" s="39">
        <v>0</v>
      </c>
      <c r="N1322" s="108">
        <f>Tabla12[[#This Row],[TRIMESTRE  I]]+Tabla12[[#This Row],[TRIMESTRE II]]+Tabla12[[#This Row],[TRIMESTRE III]]+Tabla12[[#This Row],[TRIMESTRE IV]]</f>
        <v>1200</v>
      </c>
      <c r="O1322" s="39" t="s">
        <v>6</v>
      </c>
      <c r="P1322" s="79" t="s">
        <v>769</v>
      </c>
      <c r="Q1322" s="59" t="s">
        <v>776</v>
      </c>
    </row>
    <row r="1323" spans="2:17" s="106" customFormat="1" ht="22.5" x14ac:dyDescent="0.2">
      <c r="B1323" s="66">
        <v>1500</v>
      </c>
      <c r="C1323" s="67" t="s">
        <v>767</v>
      </c>
      <c r="D1323" s="37">
        <v>530</v>
      </c>
      <c r="E1323" s="42" t="str">
        <f>IF(D1323&lt;=0,"",VLOOKUP(D1323,[10]FF!A:D,2,0))</f>
        <v>PARTICIPACIONES Ramo 28</v>
      </c>
      <c r="F1323" s="37" t="s">
        <v>770</v>
      </c>
      <c r="G1323" s="37" t="s">
        <v>458</v>
      </c>
      <c r="H1323" s="37">
        <v>382002</v>
      </c>
      <c r="I1323" s="41" t="str">
        <f>IF(H1323&lt;=0,"",VLOOKUP(H1323,[10]COG!A:H,2,0))</f>
        <v>Gastos de recepción, conmemorativos y de orden social</v>
      </c>
      <c r="J1323" s="39">
        <v>0</v>
      </c>
      <c r="K1323" s="39">
        <v>1000</v>
      </c>
      <c r="L1323" s="39">
        <v>0</v>
      </c>
      <c r="M1323" s="39">
        <v>0</v>
      </c>
      <c r="N1323" s="108">
        <f>Tabla12[[#This Row],[TRIMESTRE  I]]+Tabla12[[#This Row],[TRIMESTRE II]]+Tabla12[[#This Row],[TRIMESTRE III]]+Tabla12[[#This Row],[TRIMESTRE IV]]</f>
        <v>1000</v>
      </c>
      <c r="O1323" s="39" t="s">
        <v>6</v>
      </c>
      <c r="P1323" s="79" t="s">
        <v>769</v>
      </c>
      <c r="Q1323" s="59" t="s">
        <v>776</v>
      </c>
    </row>
    <row r="1324" spans="2:17" s="106" customFormat="1" ht="22.5" x14ac:dyDescent="0.2">
      <c r="B1324" s="66">
        <v>1500</v>
      </c>
      <c r="C1324" s="67" t="s">
        <v>767</v>
      </c>
      <c r="D1324" s="37">
        <v>530</v>
      </c>
      <c r="E1324" s="42" t="str">
        <f>IF(D1324&lt;=0,"",VLOOKUP(D1324,[10]FF!A:D,2,0))</f>
        <v>PARTICIPACIONES Ramo 28</v>
      </c>
      <c r="F1324" s="37" t="s">
        <v>771</v>
      </c>
      <c r="G1324" s="37" t="s">
        <v>458</v>
      </c>
      <c r="H1324" s="37">
        <v>382002</v>
      </c>
      <c r="I1324" s="41" t="str">
        <f>IF(H1324&lt;=0,"",VLOOKUP(H1324,[10]COG!A:H,2,0))</f>
        <v>Gastos de recepción, conmemorativos y de orden social</v>
      </c>
      <c r="J1324" s="39">
        <v>500</v>
      </c>
      <c r="K1324" s="39">
        <v>1000</v>
      </c>
      <c r="L1324" s="39">
        <v>0</v>
      </c>
      <c r="M1324" s="39">
        <v>0</v>
      </c>
      <c r="N1324" s="108">
        <f>Tabla12[[#This Row],[TRIMESTRE  I]]+Tabla12[[#This Row],[TRIMESTRE II]]+Tabla12[[#This Row],[TRIMESTRE III]]+Tabla12[[#This Row],[TRIMESTRE IV]]</f>
        <v>1500</v>
      </c>
      <c r="O1324" s="39" t="s">
        <v>6</v>
      </c>
      <c r="P1324" s="79" t="s">
        <v>769</v>
      </c>
      <c r="Q1324" s="59" t="s">
        <v>776</v>
      </c>
    </row>
    <row r="1325" spans="2:17" s="106" customFormat="1" ht="22.5" x14ac:dyDescent="0.2">
      <c r="B1325" s="66">
        <v>1500</v>
      </c>
      <c r="C1325" s="67" t="s">
        <v>767</v>
      </c>
      <c r="D1325" s="37">
        <v>530</v>
      </c>
      <c r="E1325" s="42" t="str">
        <f>IF(D1325&lt;=0,"",VLOOKUP(D1325,[10]FF!A:D,2,0))</f>
        <v>PARTICIPACIONES Ramo 28</v>
      </c>
      <c r="F1325" s="37" t="s">
        <v>773</v>
      </c>
      <c r="G1325" s="37" t="s">
        <v>458</v>
      </c>
      <c r="H1325" s="37">
        <v>382002</v>
      </c>
      <c r="I1325" s="41" t="str">
        <f>IF(H1325&lt;=0,"",VLOOKUP(H1325,[10]COG!A:H,2,0))</f>
        <v>Gastos de recepción, conmemorativos y de orden social</v>
      </c>
      <c r="J1325" s="39">
        <v>500</v>
      </c>
      <c r="K1325" s="39">
        <v>0</v>
      </c>
      <c r="L1325" s="39">
        <v>1500</v>
      </c>
      <c r="M1325" s="39">
        <v>1414</v>
      </c>
      <c r="N1325" s="108">
        <f>Tabla12[[#This Row],[TRIMESTRE  I]]+Tabla12[[#This Row],[TRIMESTRE II]]+Tabla12[[#This Row],[TRIMESTRE III]]+Tabla12[[#This Row],[TRIMESTRE IV]]</f>
        <v>3414</v>
      </c>
      <c r="O1325" s="39" t="s">
        <v>6</v>
      </c>
      <c r="P1325" s="79" t="s">
        <v>769</v>
      </c>
      <c r="Q1325" s="59" t="s">
        <v>776</v>
      </c>
    </row>
    <row r="1326" spans="2:17" s="106" customFormat="1" ht="22.5" x14ac:dyDescent="0.2">
      <c r="B1326" s="66">
        <v>1500</v>
      </c>
      <c r="C1326" s="67" t="s">
        <v>767</v>
      </c>
      <c r="D1326" s="37">
        <v>530</v>
      </c>
      <c r="E1326" s="43" t="str">
        <f>IF(D1326&lt;=0,"",VLOOKUP(D1326,[10]FF!A:D,2,0))</f>
        <v>PARTICIPACIONES Ramo 28</v>
      </c>
      <c r="F1326" s="37" t="s">
        <v>774</v>
      </c>
      <c r="G1326" s="37" t="s">
        <v>458</v>
      </c>
      <c r="H1326" s="49">
        <v>382002</v>
      </c>
      <c r="I1326" s="44" t="str">
        <f>IF(H1326&lt;=0,"",VLOOKUP(H1326,[10]COG!A:H,2,0))</f>
        <v>Gastos de recepción, conmemorativos y de orden social</v>
      </c>
      <c r="J1326" s="50">
        <v>0</v>
      </c>
      <c r="K1326" s="50">
        <v>200</v>
      </c>
      <c r="L1326" s="50">
        <v>0</v>
      </c>
      <c r="M1326" s="50">
        <v>0</v>
      </c>
      <c r="N1326" s="108">
        <f>Tabla12[[#This Row],[TRIMESTRE  I]]+Tabla12[[#This Row],[TRIMESTRE II]]+Tabla12[[#This Row],[TRIMESTRE III]]+Tabla12[[#This Row],[TRIMESTRE IV]]</f>
        <v>200</v>
      </c>
      <c r="O1326" s="39" t="s">
        <v>6</v>
      </c>
      <c r="P1326" s="79" t="s">
        <v>769</v>
      </c>
      <c r="Q1326" s="59" t="s">
        <v>776</v>
      </c>
    </row>
    <row r="1327" spans="2:17" s="106" customFormat="1" ht="22.5" x14ac:dyDescent="0.2">
      <c r="B1327" s="66">
        <v>1500</v>
      </c>
      <c r="C1327" s="67" t="s">
        <v>767</v>
      </c>
      <c r="D1327" s="37">
        <v>530</v>
      </c>
      <c r="E1327" s="42" t="str">
        <f>IF(D1327&lt;=0,"",VLOOKUP(D1327,[10]FF!A:D,2,0))</f>
        <v>PARTICIPACIONES Ramo 28</v>
      </c>
      <c r="F1327" s="37" t="s">
        <v>768</v>
      </c>
      <c r="G1327" s="37" t="s">
        <v>458</v>
      </c>
      <c r="H1327" s="37">
        <v>383001</v>
      </c>
      <c r="I1327" s="41" t="str">
        <f>IF(H1327&lt;=0,"",VLOOKUP(H1327,[10]COG!A:H,2,0))</f>
        <v>Congresos y convenciones</v>
      </c>
      <c r="J1327" s="39">
        <v>510</v>
      </c>
      <c r="K1327" s="39">
        <v>510</v>
      </c>
      <c r="L1327" s="39">
        <v>0</v>
      </c>
      <c r="M1327" s="39">
        <v>0</v>
      </c>
      <c r="N1327" s="108">
        <f>Tabla12[[#This Row],[TRIMESTRE  I]]+Tabla12[[#This Row],[TRIMESTRE II]]+Tabla12[[#This Row],[TRIMESTRE III]]+Tabla12[[#This Row],[TRIMESTRE IV]]</f>
        <v>1020</v>
      </c>
      <c r="O1327" s="39" t="s">
        <v>6</v>
      </c>
      <c r="P1327" s="79" t="s">
        <v>769</v>
      </c>
      <c r="Q1327" s="59" t="s">
        <v>776</v>
      </c>
    </row>
    <row r="1328" spans="2:17" s="106" customFormat="1" ht="22.5" x14ac:dyDescent="0.2">
      <c r="B1328" s="66">
        <v>1500</v>
      </c>
      <c r="C1328" s="67" t="s">
        <v>767</v>
      </c>
      <c r="D1328" s="37">
        <v>530</v>
      </c>
      <c r="E1328" s="42" t="str">
        <f>IF(D1328&lt;=0,"",VLOOKUP(D1328,[10]FF!A:D,2,0))</f>
        <v>PARTICIPACIONES Ramo 28</v>
      </c>
      <c r="F1328" s="37" t="s">
        <v>771</v>
      </c>
      <c r="G1328" s="37" t="s">
        <v>458</v>
      </c>
      <c r="H1328" s="37">
        <v>383001</v>
      </c>
      <c r="I1328" s="41" t="str">
        <f>IF(H1328&lt;=0,"",VLOOKUP(H1328,[10]COG!A:H,2,0))</f>
        <v>Congresos y convenciones</v>
      </c>
      <c r="J1328" s="39">
        <v>350</v>
      </c>
      <c r="K1328" s="39">
        <v>700</v>
      </c>
      <c r="L1328" s="39">
        <v>0</v>
      </c>
      <c r="M1328" s="39">
        <v>0</v>
      </c>
      <c r="N1328" s="108">
        <f>Tabla12[[#This Row],[TRIMESTRE  I]]+Tabla12[[#This Row],[TRIMESTRE II]]+Tabla12[[#This Row],[TRIMESTRE III]]+Tabla12[[#This Row],[TRIMESTRE IV]]</f>
        <v>1050</v>
      </c>
      <c r="O1328" s="39" t="s">
        <v>6</v>
      </c>
      <c r="P1328" s="79" t="s">
        <v>769</v>
      </c>
      <c r="Q1328" s="59" t="s">
        <v>776</v>
      </c>
    </row>
    <row r="1329" spans="2:17" s="106" customFormat="1" ht="22.5" x14ac:dyDescent="0.2">
      <c r="B1329" s="66">
        <v>1500</v>
      </c>
      <c r="C1329" s="67" t="s">
        <v>767</v>
      </c>
      <c r="D1329" s="37">
        <v>530</v>
      </c>
      <c r="E1329" s="42" t="str">
        <f>IF(D1329&lt;=0,"",VLOOKUP(D1329,[10]FF!A:D,2,0))</f>
        <v>PARTICIPACIONES Ramo 28</v>
      </c>
      <c r="F1329" s="37" t="s">
        <v>773</v>
      </c>
      <c r="G1329" s="37" t="s">
        <v>458</v>
      </c>
      <c r="H1329" s="37">
        <v>383001</v>
      </c>
      <c r="I1329" s="41" t="str">
        <f>IF(H1329&lt;=0,"",VLOOKUP(H1329,[10]COG!A:H,2,0))</f>
        <v>Congresos y convenciones</v>
      </c>
      <c r="J1329" s="39">
        <v>0</v>
      </c>
      <c r="K1329" s="39">
        <v>0</v>
      </c>
      <c r="L1329" s="39">
        <v>250</v>
      </c>
      <c r="M1329" s="39">
        <v>0</v>
      </c>
      <c r="N1329" s="108">
        <f>Tabla12[[#This Row],[TRIMESTRE  I]]+Tabla12[[#This Row],[TRIMESTRE II]]+Tabla12[[#This Row],[TRIMESTRE III]]+Tabla12[[#This Row],[TRIMESTRE IV]]</f>
        <v>250</v>
      </c>
      <c r="O1329" s="39" t="s">
        <v>6</v>
      </c>
      <c r="P1329" s="79" t="s">
        <v>769</v>
      </c>
      <c r="Q1329" s="59" t="s">
        <v>776</v>
      </c>
    </row>
    <row r="1330" spans="2:17" s="106" customFormat="1" ht="22.5" x14ac:dyDescent="0.2">
      <c r="B1330" s="66">
        <v>1500</v>
      </c>
      <c r="C1330" s="67" t="s">
        <v>767</v>
      </c>
      <c r="D1330" s="37">
        <v>530</v>
      </c>
      <c r="E1330" s="43" t="str">
        <f>IF(D1330&lt;=0,"",VLOOKUP(D1330,[10]FF!A:D,2,0))</f>
        <v>PARTICIPACIONES Ramo 28</v>
      </c>
      <c r="F1330" s="37" t="s">
        <v>774</v>
      </c>
      <c r="G1330" s="37" t="s">
        <v>458</v>
      </c>
      <c r="H1330" s="37">
        <v>383001</v>
      </c>
      <c r="I1330" s="44" t="str">
        <f>IF(H1330&lt;=0,"",VLOOKUP(H1330,[10]COG!A:H,2,0))</f>
        <v>Congresos y convenciones</v>
      </c>
      <c r="J1330" s="50">
        <v>340</v>
      </c>
      <c r="K1330" s="50">
        <v>100</v>
      </c>
      <c r="L1330" s="50">
        <v>0</v>
      </c>
      <c r="M1330" s="50">
        <v>0</v>
      </c>
      <c r="N1330" s="108">
        <f>Tabla12[[#This Row],[TRIMESTRE  I]]+Tabla12[[#This Row],[TRIMESTRE II]]+Tabla12[[#This Row],[TRIMESTRE III]]+Tabla12[[#This Row],[TRIMESTRE IV]]</f>
        <v>440</v>
      </c>
      <c r="O1330" s="39" t="s">
        <v>6</v>
      </c>
      <c r="P1330" s="79" t="s">
        <v>769</v>
      </c>
      <c r="Q1330" s="59" t="s">
        <v>776</v>
      </c>
    </row>
    <row r="1331" spans="2:17" s="106" customFormat="1" ht="22.5" x14ac:dyDescent="0.2">
      <c r="B1331" s="66">
        <v>1500</v>
      </c>
      <c r="C1331" s="67" t="s">
        <v>767</v>
      </c>
      <c r="D1331" s="37">
        <v>530</v>
      </c>
      <c r="E1331" s="42" t="str">
        <f>IF(D1331&lt;=0,"",VLOOKUP(D1331,[10]FF!A:D,2,0))</f>
        <v>PARTICIPACIONES Ramo 28</v>
      </c>
      <c r="F1331" s="37" t="s">
        <v>770</v>
      </c>
      <c r="G1331" s="37" t="s">
        <v>458</v>
      </c>
      <c r="H1331" s="37">
        <v>392001</v>
      </c>
      <c r="I1331" s="41" t="str">
        <f>IF(H1331&lt;=0,"",VLOOKUP(H1331,[10]COG!A:H,2,0))</f>
        <v>Impuestos y derechos</v>
      </c>
      <c r="J1331" s="39">
        <v>4000</v>
      </c>
      <c r="K1331" s="39">
        <v>0</v>
      </c>
      <c r="L1331" s="39">
        <v>0</v>
      </c>
      <c r="M1331" s="39">
        <v>0</v>
      </c>
      <c r="N1331" s="108">
        <f>Tabla12[[#This Row],[TRIMESTRE  I]]+Tabla12[[#This Row],[TRIMESTRE II]]+Tabla12[[#This Row],[TRIMESTRE III]]+Tabla12[[#This Row],[TRIMESTRE IV]]</f>
        <v>4000</v>
      </c>
      <c r="O1331" s="39" t="s">
        <v>6</v>
      </c>
      <c r="P1331" s="79" t="s">
        <v>769</v>
      </c>
      <c r="Q1331" s="59" t="s">
        <v>776</v>
      </c>
    </row>
    <row r="1332" spans="2:17" ht="22.5" x14ac:dyDescent="0.2">
      <c r="B1332" s="66">
        <v>1500</v>
      </c>
      <c r="C1332" s="67" t="s">
        <v>767</v>
      </c>
      <c r="D1332" s="37">
        <v>530</v>
      </c>
      <c r="E1332" s="42" t="str">
        <f>IF(D1332&lt;=0,"",VLOOKUP(D1332,[10]FF!A:D,2,0))</f>
        <v>PARTICIPACIONES Ramo 28</v>
      </c>
      <c r="F1332" s="37" t="s">
        <v>770</v>
      </c>
      <c r="G1332" s="37" t="s">
        <v>458</v>
      </c>
      <c r="H1332" s="37">
        <v>399001</v>
      </c>
      <c r="I1332" s="41" t="str">
        <f>IF(H1332&lt;=0,"",VLOOKUP(H1332,[10]COG!A:H,2,0))</f>
        <v>Gastos menores</v>
      </c>
      <c r="J1332" s="39">
        <v>1100</v>
      </c>
      <c r="K1332" s="39">
        <v>340</v>
      </c>
      <c r="L1332" s="39">
        <v>345</v>
      </c>
      <c r="M1332" s="39">
        <v>340</v>
      </c>
      <c r="N1332" s="108">
        <f>Tabla12[[#This Row],[TRIMESTRE  I]]+Tabla12[[#This Row],[TRIMESTRE II]]+Tabla12[[#This Row],[TRIMESTRE III]]+Tabla12[[#This Row],[TRIMESTRE IV]]</f>
        <v>2125</v>
      </c>
      <c r="O1332" s="39" t="s">
        <v>6</v>
      </c>
      <c r="P1332" s="79" t="s">
        <v>769</v>
      </c>
      <c r="Q1332" s="59" t="s">
        <v>776</v>
      </c>
    </row>
    <row r="1333" spans="2:17" x14ac:dyDescent="0.2">
      <c r="B1333" s="66"/>
      <c r="C1333" s="67"/>
      <c r="D1333" s="37"/>
      <c r="E1333" s="42"/>
      <c r="F1333" s="37"/>
      <c r="G1333" s="37"/>
      <c r="H1333" s="37"/>
      <c r="I1333" s="41"/>
      <c r="J1333" s="39"/>
      <c r="K1333" s="39"/>
      <c r="L1333" s="39"/>
      <c r="M1333" s="39"/>
      <c r="N1333" s="108">
        <f>SUBTOTAL(109,Tabla12[[PRESUPUESTO ANUAL AUTORIZADO ]])</f>
        <v>2212817</v>
      </c>
      <c r="O1333" s="39"/>
      <c r="P1333" s="79"/>
      <c r="Q1333" s="59"/>
    </row>
    <row r="1334" spans="2:17" x14ac:dyDescent="0.2">
      <c r="B1334" s="34"/>
      <c r="D1334" s="4"/>
      <c r="E1334" s="42"/>
      <c r="F1334" s="68"/>
      <c r="G1334" s="68"/>
      <c r="H1334" s="4"/>
      <c r="I1334" s="4"/>
      <c r="J1334" s="98"/>
      <c r="K1334" s="98"/>
      <c r="L1334" s="98"/>
      <c r="M1334" s="98"/>
      <c r="N1334" s="98"/>
      <c r="O1334" s="68"/>
      <c r="P1334" s="39"/>
      <c r="Q1334" s="59"/>
    </row>
    <row r="1335" spans="2:17" ht="23.25" x14ac:dyDescent="0.2">
      <c r="B1335" s="111" t="s">
        <v>4</v>
      </c>
      <c r="C1335" s="111"/>
      <c r="D1335" s="111"/>
      <c r="E1335" s="111"/>
      <c r="F1335" s="111"/>
      <c r="G1335" s="111"/>
      <c r="H1335" s="111"/>
      <c r="I1335" s="111"/>
      <c r="J1335" s="111"/>
      <c r="K1335" s="111"/>
      <c r="L1335" s="111"/>
      <c r="M1335" s="111"/>
      <c r="N1335" s="111"/>
      <c r="O1335" s="111"/>
      <c r="P1335" s="111"/>
      <c r="Q1335" s="111"/>
    </row>
    <row r="1336" spans="2:17" ht="23.25" x14ac:dyDescent="0.2">
      <c r="B1336" s="109" t="s">
        <v>748</v>
      </c>
      <c r="C1336" s="109"/>
      <c r="D1336" s="109"/>
      <c r="E1336" s="109"/>
      <c r="F1336" s="109"/>
      <c r="G1336" s="109"/>
      <c r="H1336" s="109"/>
      <c r="I1336" s="109"/>
      <c r="J1336" s="109"/>
      <c r="K1336" s="109"/>
      <c r="L1336" s="109"/>
      <c r="M1336" s="109"/>
      <c r="N1336" s="109"/>
      <c r="O1336" s="109"/>
      <c r="P1336" s="109"/>
      <c r="Q1336" s="109"/>
    </row>
    <row r="1337" spans="2:17" s="90" customFormat="1" ht="23.25" x14ac:dyDescent="0.2">
      <c r="B1337" s="110" t="s">
        <v>466</v>
      </c>
      <c r="C1337" s="110"/>
      <c r="D1337" s="110"/>
      <c r="E1337" s="110"/>
      <c r="F1337" s="110"/>
      <c r="G1337" s="110"/>
      <c r="H1337" s="110"/>
      <c r="I1337" s="110"/>
      <c r="J1337" s="110"/>
      <c r="K1337" s="110"/>
      <c r="L1337" s="110"/>
      <c r="M1337" s="110"/>
      <c r="N1337" s="110"/>
      <c r="O1337" s="110"/>
      <c r="P1337" s="110"/>
      <c r="Q1337" s="110"/>
    </row>
    <row r="1338" spans="2:17" ht="45" x14ac:dyDescent="0.2">
      <c r="B1338" s="5" t="s">
        <v>9</v>
      </c>
      <c r="C1338" s="5" t="s">
        <v>10</v>
      </c>
      <c r="D1338" s="5" t="s">
        <v>1</v>
      </c>
      <c r="E1338" s="5" t="s">
        <v>0</v>
      </c>
      <c r="F1338" s="78" t="s">
        <v>17</v>
      </c>
      <c r="G1338" s="5" t="s">
        <v>2</v>
      </c>
      <c r="H1338" s="5" t="s">
        <v>11</v>
      </c>
      <c r="I1338" s="5" t="s">
        <v>16</v>
      </c>
      <c r="J1338" s="5" t="s">
        <v>465</v>
      </c>
      <c r="K1338" s="5" t="s">
        <v>462</v>
      </c>
      <c r="L1338" s="5" t="s">
        <v>463</v>
      </c>
      <c r="M1338" s="5" t="s">
        <v>464</v>
      </c>
      <c r="N1338" s="5" t="s">
        <v>12</v>
      </c>
      <c r="O1338" s="5" t="s">
        <v>3</v>
      </c>
      <c r="P1338" s="5" t="s">
        <v>13</v>
      </c>
      <c r="Q1338" s="5" t="s">
        <v>8</v>
      </c>
    </row>
    <row r="1339" spans="2:17" x14ac:dyDescent="0.2">
      <c r="B1339" s="34">
        <v>1600000</v>
      </c>
      <c r="C1339" s="35" t="s">
        <v>649</v>
      </c>
      <c r="D1339" s="36">
        <v>530</v>
      </c>
      <c r="E1339" s="42" t="str">
        <f>IF(D1339&lt;=0,"",VLOOKUP(D1339,[11]FF!A:D,2,0))</f>
        <v>PARTICIPACIONES Ramo 28</v>
      </c>
      <c r="F1339" s="37">
        <v>1601000</v>
      </c>
      <c r="G1339" s="37" t="s">
        <v>461</v>
      </c>
      <c r="H1339" s="38">
        <v>211001</v>
      </c>
      <c r="I1339" s="64" t="str">
        <f>IF(H1339&lt;=0,"",VLOOKUP(H1339,[11]COG!A:H,2,0))</f>
        <v>Material de oficina</v>
      </c>
      <c r="J1339" s="39">
        <v>52009</v>
      </c>
      <c r="K1339" s="39">
        <v>162535</v>
      </c>
      <c r="L1339" s="39">
        <v>78061</v>
      </c>
      <c r="M1339" s="39">
        <v>59226</v>
      </c>
      <c r="N1339" s="65">
        <f>Tabla11[[#This Row],[TRIMESTRE  I]]+Tabla11[[#This Row],[TRIMESTRE II]]+Tabla11[[#This Row],[TRIMESTRE III]]+Tabla11[[#This Row],[TRIMESTRE IV]]</f>
        <v>351831</v>
      </c>
      <c r="O1339" s="39" t="s">
        <v>5</v>
      </c>
      <c r="P1339" s="79" t="s">
        <v>650</v>
      </c>
      <c r="Q1339" s="59" t="s">
        <v>581</v>
      </c>
    </row>
    <row r="1340" spans="2:17" ht="22.5" x14ac:dyDescent="0.2">
      <c r="B1340" s="34">
        <v>1600000</v>
      </c>
      <c r="C1340" s="35" t="s">
        <v>649</v>
      </c>
      <c r="D1340" s="36">
        <v>530</v>
      </c>
      <c r="E1340" s="42" t="str">
        <f>IF(D1340&lt;=0,"",VLOOKUP(D1340,[11]FF!A:D,2,0))</f>
        <v>PARTICIPACIONES Ramo 28</v>
      </c>
      <c r="F1340" s="37">
        <v>1601000</v>
      </c>
      <c r="G1340" s="37" t="s">
        <v>461</v>
      </c>
      <c r="H1340" s="38">
        <v>212001</v>
      </c>
      <c r="I1340" s="64" t="str">
        <f>IF(H1340&lt;=0,"",VLOOKUP(H1340,[11]COG!A:H,2,0))</f>
        <v>Material y útiles de impresión</v>
      </c>
      <c r="J1340" s="39">
        <v>56854</v>
      </c>
      <c r="K1340" s="39">
        <v>161191</v>
      </c>
      <c r="L1340" s="39">
        <v>77279</v>
      </c>
      <c r="M1340" s="39">
        <v>61698</v>
      </c>
      <c r="N1340" s="65">
        <f>Tabla11[[#This Row],[TRIMESTRE  I]]+Tabla11[[#This Row],[TRIMESTRE II]]+Tabla11[[#This Row],[TRIMESTRE III]]+Tabla11[[#This Row],[TRIMESTRE IV]]</f>
        <v>357022</v>
      </c>
      <c r="O1340" s="39" t="s">
        <v>15</v>
      </c>
      <c r="P1340" s="79" t="s">
        <v>651</v>
      </c>
      <c r="Q1340" s="59" t="s">
        <v>587</v>
      </c>
    </row>
    <row r="1341" spans="2:17" ht="22.5" x14ac:dyDescent="0.2">
      <c r="B1341" s="34">
        <v>1600000</v>
      </c>
      <c r="C1341" s="35" t="s">
        <v>649</v>
      </c>
      <c r="D1341" s="36">
        <v>530</v>
      </c>
      <c r="E1341" s="42" t="str">
        <f>IF(D1341&lt;=0,"",VLOOKUP(D1341,[11]FF!A:D,2,0))</f>
        <v>PARTICIPACIONES Ramo 28</v>
      </c>
      <c r="F1341" s="37">
        <v>1601000</v>
      </c>
      <c r="G1341" s="37" t="s">
        <v>461</v>
      </c>
      <c r="H1341" s="38">
        <v>215001</v>
      </c>
      <c r="I1341" s="64" t="s">
        <v>652</v>
      </c>
      <c r="J1341" s="39">
        <v>9179</v>
      </c>
      <c r="K1341" s="39">
        <v>10092</v>
      </c>
      <c r="L1341" s="39">
        <v>4942</v>
      </c>
      <c r="M1341" s="39">
        <v>2943</v>
      </c>
      <c r="N1341" s="65">
        <f>Tabla11[[#This Row],[TRIMESTRE  I]]+Tabla11[[#This Row],[TRIMESTRE II]]+Tabla11[[#This Row],[TRIMESTRE III]]+Tabla11[[#This Row],[TRIMESTRE IV]]</f>
        <v>27156</v>
      </c>
      <c r="O1341" s="39" t="s">
        <v>6</v>
      </c>
      <c r="P1341" s="79" t="s">
        <v>653</v>
      </c>
      <c r="Q1341" s="59" t="s">
        <v>654</v>
      </c>
    </row>
    <row r="1342" spans="2:17" x14ac:dyDescent="0.2">
      <c r="B1342" s="34">
        <v>1600000</v>
      </c>
      <c r="C1342" s="35" t="s">
        <v>649</v>
      </c>
      <c r="D1342" s="36">
        <v>530</v>
      </c>
      <c r="E1342" s="42" t="str">
        <f>IF(D1342&lt;=0,"",VLOOKUP(D1342,[11]FF!A:D,2,0))</f>
        <v>PARTICIPACIONES Ramo 28</v>
      </c>
      <c r="F1342" s="37">
        <v>1601000</v>
      </c>
      <c r="G1342" s="37" t="s">
        <v>461</v>
      </c>
      <c r="H1342" s="38">
        <v>216001</v>
      </c>
      <c r="I1342" s="64" t="s">
        <v>655</v>
      </c>
      <c r="J1342" s="39">
        <v>14821</v>
      </c>
      <c r="K1342" s="39">
        <v>22415</v>
      </c>
      <c r="L1342" s="39">
        <v>14358</v>
      </c>
      <c r="M1342" s="39">
        <v>6658</v>
      </c>
      <c r="N1342" s="65">
        <f>Tabla11[[#This Row],[TRIMESTRE  I]]+Tabla11[[#This Row],[TRIMESTRE II]]+Tabla11[[#This Row],[TRIMESTRE III]]+Tabla11[[#This Row],[TRIMESTRE IV]]</f>
        <v>58252</v>
      </c>
      <c r="O1342" s="39" t="s">
        <v>5</v>
      </c>
      <c r="P1342" s="79" t="s">
        <v>650</v>
      </c>
      <c r="Q1342" s="59" t="s">
        <v>581</v>
      </c>
    </row>
    <row r="1343" spans="2:17" ht="22.5" x14ac:dyDescent="0.2">
      <c r="B1343" s="34">
        <v>1600000</v>
      </c>
      <c r="C1343" s="35" t="s">
        <v>649</v>
      </c>
      <c r="D1343" s="36">
        <v>530</v>
      </c>
      <c r="E1343" s="42" t="str">
        <f>IF(D1343&lt;=0,"",VLOOKUP(D1343,[11]FF!A:D,2,0))</f>
        <v>PARTICIPACIONES Ramo 28</v>
      </c>
      <c r="F1343" s="37">
        <v>1601000</v>
      </c>
      <c r="G1343" s="37" t="s">
        <v>461</v>
      </c>
      <c r="H1343" s="38">
        <v>221001</v>
      </c>
      <c r="I1343" s="64" t="s">
        <v>656</v>
      </c>
      <c r="J1343" s="39">
        <v>15687</v>
      </c>
      <c r="K1343" s="39">
        <v>18442</v>
      </c>
      <c r="L1343" s="39">
        <v>10182</v>
      </c>
      <c r="M1343" s="39">
        <v>14298</v>
      </c>
      <c r="N1343" s="65">
        <f>Tabla11[[#This Row],[TRIMESTRE  I]]+Tabla11[[#This Row],[TRIMESTRE II]]+Tabla11[[#This Row],[TRIMESTRE III]]+Tabla11[[#This Row],[TRIMESTRE IV]]</f>
        <v>58609</v>
      </c>
      <c r="O1343" s="39" t="s">
        <v>6</v>
      </c>
      <c r="P1343" s="79" t="s">
        <v>653</v>
      </c>
      <c r="Q1343" s="59" t="s">
        <v>654</v>
      </c>
    </row>
    <row r="1344" spans="2:17" ht="22.5" x14ac:dyDescent="0.2">
      <c r="B1344" s="34">
        <v>1600000</v>
      </c>
      <c r="C1344" s="35" t="s">
        <v>649</v>
      </c>
      <c r="D1344" s="36">
        <v>530</v>
      </c>
      <c r="E1344" s="42" t="str">
        <f>IF(D1344&lt;=0,"",VLOOKUP(D1344,[11]FF!A:D,2,0))</f>
        <v>PARTICIPACIONES Ramo 28</v>
      </c>
      <c r="F1344" s="37">
        <v>1601000</v>
      </c>
      <c r="G1344" s="37" t="s">
        <v>461</v>
      </c>
      <c r="H1344" s="38">
        <v>233001</v>
      </c>
      <c r="I1344" s="64" t="s">
        <v>657</v>
      </c>
      <c r="J1344" s="39">
        <v>246</v>
      </c>
      <c r="K1344" s="39">
        <v>246</v>
      </c>
      <c r="L1344" s="39">
        <v>246</v>
      </c>
      <c r="M1344" s="39">
        <v>246</v>
      </c>
      <c r="N1344" s="65">
        <f>Tabla11[[#This Row],[TRIMESTRE  I]]+Tabla11[[#This Row],[TRIMESTRE II]]+Tabla11[[#This Row],[TRIMESTRE III]]+Tabla11[[#This Row],[TRIMESTRE IV]]</f>
        <v>984</v>
      </c>
      <c r="O1344" s="39" t="s">
        <v>6</v>
      </c>
      <c r="P1344" s="79" t="s">
        <v>658</v>
      </c>
      <c r="Q1344" s="59" t="s">
        <v>654</v>
      </c>
    </row>
    <row r="1345" spans="2:17" ht="22.5" x14ac:dyDescent="0.2">
      <c r="B1345" s="34">
        <v>1600000</v>
      </c>
      <c r="C1345" s="35" t="s">
        <v>649</v>
      </c>
      <c r="D1345" s="36">
        <v>530</v>
      </c>
      <c r="E1345" s="42" t="str">
        <f>IF(D1345&lt;=0,"",VLOOKUP(D1345,[11]FF!A:D,2,0))</f>
        <v>PARTICIPACIONES Ramo 28</v>
      </c>
      <c r="F1345" s="37">
        <v>1601000</v>
      </c>
      <c r="G1345" s="37" t="s">
        <v>461</v>
      </c>
      <c r="H1345" s="38">
        <v>246001</v>
      </c>
      <c r="I1345" s="64" t="s">
        <v>659</v>
      </c>
      <c r="J1345" s="39">
        <v>22322</v>
      </c>
      <c r="K1345" s="39">
        <v>48768</v>
      </c>
      <c r="L1345" s="39">
        <v>19818</v>
      </c>
      <c r="M1345" s="39">
        <v>16142</v>
      </c>
      <c r="N1345" s="65">
        <f>Tabla11[[#This Row],[TRIMESTRE  I]]+Tabla11[[#This Row],[TRIMESTRE II]]+Tabla11[[#This Row],[TRIMESTRE III]]+Tabla11[[#This Row],[TRIMESTRE IV]]</f>
        <v>107050</v>
      </c>
      <c r="O1345" s="39" t="s">
        <v>6</v>
      </c>
      <c r="P1345" s="79" t="s">
        <v>660</v>
      </c>
      <c r="Q1345" s="59" t="s">
        <v>654</v>
      </c>
    </row>
    <row r="1346" spans="2:17" ht="22.5" x14ac:dyDescent="0.2">
      <c r="B1346" s="34">
        <v>1600000</v>
      </c>
      <c r="C1346" s="35" t="s">
        <v>649</v>
      </c>
      <c r="D1346" s="36">
        <v>530</v>
      </c>
      <c r="E1346" s="42" t="str">
        <f>IF(D1346&lt;=0,"",VLOOKUP(D1346,[11]FF!A:D,2,0))</f>
        <v>PARTICIPACIONES Ramo 28</v>
      </c>
      <c r="F1346" s="37">
        <v>1601000</v>
      </c>
      <c r="G1346" s="37" t="s">
        <v>461</v>
      </c>
      <c r="H1346" s="38">
        <v>253001</v>
      </c>
      <c r="I1346" s="64" t="s">
        <v>661</v>
      </c>
      <c r="J1346" s="39">
        <v>56469</v>
      </c>
      <c r="K1346" s="39">
        <v>115865</v>
      </c>
      <c r="L1346" s="39">
        <v>28526</v>
      </c>
      <c r="M1346" s="39">
        <v>23131</v>
      </c>
      <c r="N1346" s="65">
        <f>Tabla11[[#This Row],[TRIMESTRE  I]]+Tabla11[[#This Row],[TRIMESTRE II]]+Tabla11[[#This Row],[TRIMESTRE III]]+Tabla11[[#This Row],[TRIMESTRE IV]]</f>
        <v>223991</v>
      </c>
      <c r="O1346" s="39" t="s">
        <v>6</v>
      </c>
      <c r="P1346" s="79" t="s">
        <v>660</v>
      </c>
      <c r="Q1346" s="59" t="s">
        <v>654</v>
      </c>
    </row>
    <row r="1347" spans="2:17" x14ac:dyDescent="0.2">
      <c r="B1347" s="34">
        <v>1600000</v>
      </c>
      <c r="C1347" s="35" t="s">
        <v>649</v>
      </c>
      <c r="D1347" s="36">
        <v>530</v>
      </c>
      <c r="E1347" s="42" t="str">
        <f>IF(D1347&lt;=0,"",VLOOKUP(D1347,[11]FF!A:D,2,0))</f>
        <v>PARTICIPACIONES Ramo 28</v>
      </c>
      <c r="F1347" s="37">
        <v>1601000</v>
      </c>
      <c r="G1347" s="37" t="s">
        <v>461</v>
      </c>
      <c r="H1347" s="38">
        <v>261001</v>
      </c>
      <c r="I1347" s="64" t="s">
        <v>662</v>
      </c>
      <c r="J1347" s="39">
        <v>402425</v>
      </c>
      <c r="K1347" s="39">
        <v>526676</v>
      </c>
      <c r="L1347" s="39">
        <v>474356</v>
      </c>
      <c r="M1347" s="39">
        <v>466960</v>
      </c>
      <c r="N1347" s="65">
        <f>Tabla11[[#This Row],[TRIMESTRE  I]]+Tabla11[[#This Row],[TRIMESTRE II]]+Tabla11[[#This Row],[TRIMESTRE III]]+Tabla11[[#This Row],[TRIMESTRE IV]]</f>
        <v>1870417</v>
      </c>
      <c r="O1347" s="39" t="s">
        <v>5</v>
      </c>
      <c r="P1347" s="79" t="s">
        <v>650</v>
      </c>
      <c r="Q1347" s="59" t="s">
        <v>581</v>
      </c>
    </row>
    <row r="1348" spans="2:17" ht="22.5" x14ac:dyDescent="0.2">
      <c r="B1348" s="34">
        <v>1600000</v>
      </c>
      <c r="C1348" s="35" t="s">
        <v>649</v>
      </c>
      <c r="D1348" s="36">
        <v>530</v>
      </c>
      <c r="E1348" s="42" t="str">
        <f>IF(D1348&lt;=0,"",VLOOKUP(D1348,[11]FF!A:D,2,0))</f>
        <v>PARTICIPACIONES Ramo 28</v>
      </c>
      <c r="F1348" s="37">
        <v>1601000</v>
      </c>
      <c r="G1348" s="37" t="s">
        <v>461</v>
      </c>
      <c r="H1348" s="38">
        <v>261002</v>
      </c>
      <c r="I1348" s="64" t="s">
        <v>663</v>
      </c>
      <c r="J1348" s="39">
        <v>61943</v>
      </c>
      <c r="K1348" s="39">
        <v>132117</v>
      </c>
      <c r="L1348" s="39">
        <v>68915</v>
      </c>
      <c r="M1348" s="39">
        <v>38843</v>
      </c>
      <c r="N1348" s="65">
        <f>Tabla11[[#This Row],[TRIMESTRE  I]]+Tabla11[[#This Row],[TRIMESTRE II]]+Tabla11[[#This Row],[TRIMESTRE III]]+Tabla11[[#This Row],[TRIMESTRE IV]]</f>
        <v>301818</v>
      </c>
      <c r="O1348" s="39" t="s">
        <v>6</v>
      </c>
      <c r="P1348" s="79" t="s">
        <v>653</v>
      </c>
      <c r="Q1348" s="59" t="s">
        <v>654</v>
      </c>
    </row>
    <row r="1349" spans="2:17" ht="22.5" x14ac:dyDescent="0.2">
      <c r="B1349" s="34">
        <v>1600000</v>
      </c>
      <c r="C1349" s="35" t="s">
        <v>649</v>
      </c>
      <c r="D1349" s="36">
        <v>530</v>
      </c>
      <c r="E1349" s="42" t="str">
        <f>IF(D1349&lt;=0,"",VLOOKUP(D1349,[11]FF!A:D,2,0))</f>
        <v>PARTICIPACIONES Ramo 28</v>
      </c>
      <c r="F1349" s="37">
        <v>1601000</v>
      </c>
      <c r="G1349" s="37" t="s">
        <v>461</v>
      </c>
      <c r="H1349" s="38">
        <v>271001</v>
      </c>
      <c r="I1349" s="64" t="s">
        <v>664</v>
      </c>
      <c r="J1349" s="39">
        <v>50266</v>
      </c>
      <c r="K1349" s="39">
        <v>136507</v>
      </c>
      <c r="L1349" s="39">
        <v>51351</v>
      </c>
      <c r="M1349" s="39">
        <v>19603</v>
      </c>
      <c r="N1349" s="65">
        <f>Tabla11[[#This Row],[TRIMESTRE  I]]+Tabla11[[#This Row],[TRIMESTRE II]]+Tabla11[[#This Row],[TRIMESTRE III]]+Tabla11[[#This Row],[TRIMESTRE IV]]</f>
        <v>257727</v>
      </c>
      <c r="O1349" s="39" t="s">
        <v>6</v>
      </c>
      <c r="P1349" s="79" t="s">
        <v>658</v>
      </c>
      <c r="Q1349" s="59" t="s">
        <v>587</v>
      </c>
    </row>
    <row r="1350" spans="2:17" ht="22.5" x14ac:dyDescent="0.2">
      <c r="B1350" s="34">
        <v>1600000</v>
      </c>
      <c r="C1350" s="35" t="s">
        <v>649</v>
      </c>
      <c r="D1350" s="36">
        <v>530</v>
      </c>
      <c r="E1350" s="42" t="str">
        <f>IF(D1350&lt;=0,"",VLOOKUP(D1350,[11]FF!A:D,2,0))</f>
        <v>PARTICIPACIONES Ramo 28</v>
      </c>
      <c r="F1350" s="37">
        <v>1601000</v>
      </c>
      <c r="G1350" s="37" t="s">
        <v>461</v>
      </c>
      <c r="H1350" s="38">
        <v>273001</v>
      </c>
      <c r="I1350" s="64" t="s">
        <v>665</v>
      </c>
      <c r="J1350" s="39">
        <v>4785</v>
      </c>
      <c r="K1350" s="39">
        <v>7691</v>
      </c>
      <c r="L1350" s="39">
        <v>2139</v>
      </c>
      <c r="M1350" s="39">
        <v>2136</v>
      </c>
      <c r="N1350" s="65">
        <f>Tabla11[[#This Row],[TRIMESTRE  I]]+Tabla11[[#This Row],[TRIMESTRE II]]+Tabla11[[#This Row],[TRIMESTRE III]]+Tabla11[[#This Row],[TRIMESTRE IV]]</f>
        <v>16751</v>
      </c>
      <c r="O1350" s="39" t="s">
        <v>6</v>
      </c>
      <c r="P1350" s="79" t="s">
        <v>666</v>
      </c>
      <c r="Q1350" s="59" t="s">
        <v>654</v>
      </c>
    </row>
    <row r="1351" spans="2:17" ht="45" x14ac:dyDescent="0.2">
      <c r="B1351" s="66">
        <v>1600000</v>
      </c>
      <c r="C1351" s="67" t="s">
        <v>649</v>
      </c>
      <c r="D1351" s="37">
        <v>530</v>
      </c>
      <c r="E1351" s="68" t="str">
        <f>IF(D1351&lt;=0,"",VLOOKUP(D1351,[11]FF!A:D,2,0))</f>
        <v>PARTICIPACIONES Ramo 28</v>
      </c>
      <c r="F1351" s="37">
        <v>1601000</v>
      </c>
      <c r="G1351" s="37" t="s">
        <v>461</v>
      </c>
      <c r="H1351" s="59">
        <v>292001</v>
      </c>
      <c r="I1351" s="64" t="s">
        <v>667</v>
      </c>
      <c r="J1351" s="39">
        <v>6981</v>
      </c>
      <c r="K1351" s="39">
        <v>21847</v>
      </c>
      <c r="L1351" s="39">
        <v>4987</v>
      </c>
      <c r="M1351" s="39">
        <v>5314</v>
      </c>
      <c r="N1351" s="65">
        <f>Tabla11[[#This Row],[TRIMESTRE  I]]+Tabla11[[#This Row],[TRIMESTRE II]]+Tabla11[[#This Row],[TRIMESTRE III]]+Tabla11[[#This Row],[TRIMESTRE IV]]</f>
        <v>39129</v>
      </c>
      <c r="O1351" s="39" t="s">
        <v>6</v>
      </c>
      <c r="P1351" s="79" t="s">
        <v>660</v>
      </c>
      <c r="Q1351" s="59" t="s">
        <v>654</v>
      </c>
    </row>
    <row r="1352" spans="2:17" ht="33.75" x14ac:dyDescent="0.2">
      <c r="B1352" s="66">
        <v>1600000</v>
      </c>
      <c r="C1352" s="67" t="s">
        <v>649</v>
      </c>
      <c r="D1352" s="37">
        <v>530</v>
      </c>
      <c r="E1352" s="68" t="str">
        <f>IF(D1352&lt;=0,"",VLOOKUP(D1352,[11]FF!A:D,2,0))</f>
        <v>PARTICIPACIONES Ramo 28</v>
      </c>
      <c r="F1352" s="37">
        <v>1601000</v>
      </c>
      <c r="G1352" s="37" t="s">
        <v>461</v>
      </c>
      <c r="H1352" s="59">
        <v>293001</v>
      </c>
      <c r="I1352" s="64" t="s">
        <v>668</v>
      </c>
      <c r="J1352" s="39">
        <v>4986</v>
      </c>
      <c r="K1352" s="39">
        <v>13392</v>
      </c>
      <c r="L1352" s="39">
        <v>4987</v>
      </c>
      <c r="M1352" s="39">
        <v>3048</v>
      </c>
      <c r="N1352" s="65">
        <f>Tabla11[[#This Row],[TRIMESTRE  I]]+Tabla11[[#This Row],[TRIMESTRE II]]+Tabla11[[#This Row],[TRIMESTRE III]]+Tabla11[[#This Row],[TRIMESTRE IV]]</f>
        <v>26413</v>
      </c>
      <c r="O1352" s="39" t="s">
        <v>6</v>
      </c>
      <c r="P1352" s="79" t="s">
        <v>658</v>
      </c>
      <c r="Q1352" s="59" t="s">
        <v>654</v>
      </c>
    </row>
    <row r="1353" spans="2:17" ht="22.5" x14ac:dyDescent="0.2">
      <c r="B1353" s="66">
        <v>1600000</v>
      </c>
      <c r="C1353" s="67" t="s">
        <v>649</v>
      </c>
      <c r="D1353" s="37">
        <v>530</v>
      </c>
      <c r="E1353" s="68" t="str">
        <f>IF(D1353&lt;=0,"",VLOOKUP(D1353,[11]FF!A:D,2,0))</f>
        <v>PARTICIPACIONES Ramo 28</v>
      </c>
      <c r="F1353" s="37">
        <v>1601000</v>
      </c>
      <c r="G1353" s="37" t="s">
        <v>461</v>
      </c>
      <c r="H1353" s="59">
        <v>294001</v>
      </c>
      <c r="I1353" s="64" t="s">
        <v>669</v>
      </c>
      <c r="J1353" s="39">
        <v>6079</v>
      </c>
      <c r="K1353" s="39">
        <v>17483</v>
      </c>
      <c r="L1353" s="39">
        <v>4039</v>
      </c>
      <c r="M1353" s="39">
        <v>3327</v>
      </c>
      <c r="N1353" s="65">
        <f>Tabla11[[#This Row],[TRIMESTRE  I]]+Tabla11[[#This Row],[TRIMESTRE II]]+Tabla11[[#This Row],[TRIMESTRE III]]+Tabla11[[#This Row],[TRIMESTRE IV]]</f>
        <v>30928</v>
      </c>
      <c r="O1353" s="39" t="s">
        <v>6</v>
      </c>
      <c r="P1353" s="79" t="s">
        <v>658</v>
      </c>
      <c r="Q1353" s="59" t="s">
        <v>654</v>
      </c>
    </row>
    <row r="1354" spans="2:17" ht="22.5" x14ac:dyDescent="0.2">
      <c r="B1354" s="66">
        <v>1600000</v>
      </c>
      <c r="C1354" s="67" t="s">
        <v>649</v>
      </c>
      <c r="D1354" s="37">
        <v>530</v>
      </c>
      <c r="E1354" s="68" t="str">
        <f>IF(D1354&lt;=0,"",VLOOKUP(D1354,[11]FF!A:D,2,0))</f>
        <v>PARTICIPACIONES Ramo 28</v>
      </c>
      <c r="F1354" s="37">
        <v>1601000</v>
      </c>
      <c r="G1354" s="37" t="s">
        <v>461</v>
      </c>
      <c r="H1354" s="59">
        <v>294002</v>
      </c>
      <c r="I1354" s="64" t="s">
        <v>670</v>
      </c>
      <c r="J1354" s="39">
        <v>4779</v>
      </c>
      <c r="K1354" s="39">
        <v>16706</v>
      </c>
      <c r="L1354" s="39">
        <v>6566</v>
      </c>
      <c r="M1354" s="39">
        <v>3945</v>
      </c>
      <c r="N1354" s="65">
        <f>Tabla11[[#This Row],[TRIMESTRE  I]]+Tabla11[[#This Row],[TRIMESTRE II]]+Tabla11[[#This Row],[TRIMESTRE III]]+Tabla11[[#This Row],[TRIMESTRE IV]]</f>
        <v>31996</v>
      </c>
      <c r="O1354" s="39" t="s">
        <v>6</v>
      </c>
      <c r="P1354" s="79" t="s">
        <v>658</v>
      </c>
      <c r="Q1354" s="59" t="s">
        <v>654</v>
      </c>
    </row>
    <row r="1355" spans="2:17" ht="22.5" x14ac:dyDescent="0.2">
      <c r="B1355" s="66">
        <v>1600000</v>
      </c>
      <c r="C1355" s="67" t="s">
        <v>649</v>
      </c>
      <c r="D1355" s="37">
        <v>530</v>
      </c>
      <c r="E1355" s="68" t="str">
        <f>IF(D1355&lt;=0,"",VLOOKUP(D1355,[11]FF!A:D,2,0))</f>
        <v>PARTICIPACIONES Ramo 28</v>
      </c>
      <c r="F1355" s="37">
        <v>1601000</v>
      </c>
      <c r="G1355" s="37" t="s">
        <v>461</v>
      </c>
      <c r="H1355" s="59">
        <v>296001</v>
      </c>
      <c r="I1355" s="64" t="s">
        <v>671</v>
      </c>
      <c r="J1355" s="39">
        <v>99736</v>
      </c>
      <c r="K1355" s="39">
        <v>214962</v>
      </c>
      <c r="L1355" s="39">
        <v>123419</v>
      </c>
      <c r="M1355" s="39">
        <v>87568</v>
      </c>
      <c r="N1355" s="65">
        <f>Tabla11[[#This Row],[TRIMESTRE  I]]+Tabla11[[#This Row],[TRIMESTRE II]]+Tabla11[[#This Row],[TRIMESTRE III]]+Tabla11[[#This Row],[TRIMESTRE IV]]</f>
        <v>525685</v>
      </c>
      <c r="O1355" s="39" t="s">
        <v>15</v>
      </c>
      <c r="P1355" s="79" t="s">
        <v>658</v>
      </c>
      <c r="Q1355" s="59" t="s">
        <v>654</v>
      </c>
    </row>
    <row r="1356" spans="2:17" ht="22.5" x14ac:dyDescent="0.2">
      <c r="B1356" s="66">
        <v>1600000</v>
      </c>
      <c r="C1356" s="67" t="s">
        <v>649</v>
      </c>
      <c r="D1356" s="37">
        <v>530</v>
      </c>
      <c r="E1356" s="68" t="str">
        <f>IF(D1356&lt;=0,"",VLOOKUP(D1356,[11]FF!A:D,2,0))</f>
        <v>PARTICIPACIONES Ramo 28</v>
      </c>
      <c r="F1356" s="37">
        <v>1601000</v>
      </c>
      <c r="G1356" s="37" t="s">
        <v>458</v>
      </c>
      <c r="H1356" s="59">
        <v>311001</v>
      </c>
      <c r="I1356" s="64" t="s">
        <v>672</v>
      </c>
      <c r="J1356" s="39">
        <v>202894</v>
      </c>
      <c r="K1356" s="39">
        <v>330597</v>
      </c>
      <c r="L1356" s="39">
        <v>569539</v>
      </c>
      <c r="M1356" s="39">
        <v>307086</v>
      </c>
      <c r="N1356" s="65">
        <f>Tabla11[[#This Row],[TRIMESTRE  I]]+Tabla11[[#This Row],[TRIMESTRE II]]+Tabla11[[#This Row],[TRIMESTRE III]]+Tabla11[[#This Row],[TRIMESTRE IV]]</f>
        <v>1410116</v>
      </c>
      <c r="O1356" s="39" t="s">
        <v>6</v>
      </c>
      <c r="P1356" s="79" t="s">
        <v>653</v>
      </c>
      <c r="Q1356" s="59" t="s">
        <v>654</v>
      </c>
    </row>
    <row r="1357" spans="2:17" ht="22.5" x14ac:dyDescent="0.2">
      <c r="B1357" s="66">
        <v>1600000</v>
      </c>
      <c r="C1357" s="67" t="s">
        <v>649</v>
      </c>
      <c r="D1357" s="37">
        <v>530</v>
      </c>
      <c r="E1357" s="68" t="str">
        <f>IF(D1357&lt;=0,"",VLOOKUP(D1357,[11]FF!A:D,2,0))</f>
        <v>PARTICIPACIONES Ramo 28</v>
      </c>
      <c r="F1357" s="37">
        <v>1601000</v>
      </c>
      <c r="G1357" s="37" t="s">
        <v>458</v>
      </c>
      <c r="H1357" s="59">
        <v>314001</v>
      </c>
      <c r="I1357" s="64" t="s">
        <v>673</v>
      </c>
      <c r="J1357" s="39">
        <v>127782</v>
      </c>
      <c r="K1357" s="39">
        <v>127088</v>
      </c>
      <c r="L1357" s="39">
        <v>127890</v>
      </c>
      <c r="M1357" s="39">
        <v>127892</v>
      </c>
      <c r="N1357" s="65">
        <f>Tabla11[[#This Row],[TRIMESTRE  I]]+Tabla11[[#This Row],[TRIMESTRE II]]+Tabla11[[#This Row],[TRIMESTRE III]]+Tabla11[[#This Row],[TRIMESTRE IV]]</f>
        <v>510652</v>
      </c>
      <c r="O1357" s="39" t="s">
        <v>6</v>
      </c>
      <c r="P1357" s="79" t="s">
        <v>653</v>
      </c>
      <c r="Q1357" s="59" t="s">
        <v>654</v>
      </c>
    </row>
    <row r="1358" spans="2:17" ht="22.5" x14ac:dyDescent="0.2">
      <c r="B1358" s="66">
        <v>1600000</v>
      </c>
      <c r="C1358" s="67" t="s">
        <v>649</v>
      </c>
      <c r="D1358" s="37">
        <v>530</v>
      </c>
      <c r="E1358" s="68" t="str">
        <f>IF(D1358&lt;=0,"",VLOOKUP(D1358,[11]FF!A:D,2,0))</f>
        <v>PARTICIPACIONES Ramo 28</v>
      </c>
      <c r="F1358" s="37">
        <v>1601000</v>
      </c>
      <c r="G1358" s="37" t="s">
        <v>458</v>
      </c>
      <c r="H1358" s="59">
        <v>318001</v>
      </c>
      <c r="I1358" s="64" t="s">
        <v>674</v>
      </c>
      <c r="J1358" s="39">
        <v>1009</v>
      </c>
      <c r="K1358" s="39">
        <v>1085</v>
      </c>
      <c r="L1358" s="39">
        <v>489</v>
      </c>
      <c r="M1358" s="39">
        <v>421</v>
      </c>
      <c r="N1358" s="65">
        <f>Tabla11[[#This Row],[TRIMESTRE  I]]+Tabla11[[#This Row],[TRIMESTRE II]]+Tabla11[[#This Row],[TRIMESTRE III]]+Tabla11[[#This Row],[TRIMESTRE IV]]</f>
        <v>3004</v>
      </c>
      <c r="O1358" s="39" t="s">
        <v>6</v>
      </c>
      <c r="P1358" s="79" t="s">
        <v>653</v>
      </c>
      <c r="Q1358" s="59" t="s">
        <v>654</v>
      </c>
    </row>
    <row r="1359" spans="2:17" ht="22.5" x14ac:dyDescent="0.2">
      <c r="B1359" s="66">
        <v>1600000</v>
      </c>
      <c r="C1359" s="67" t="s">
        <v>649</v>
      </c>
      <c r="D1359" s="37">
        <v>530</v>
      </c>
      <c r="E1359" s="68" t="str">
        <f>IF(D1359&lt;=0,"",VLOOKUP(D1359,[11]FF!A:D,2,0))</f>
        <v>PARTICIPACIONES Ramo 28</v>
      </c>
      <c r="F1359" s="37">
        <v>1601000</v>
      </c>
      <c r="G1359" s="37" t="s">
        <v>458</v>
      </c>
      <c r="H1359" s="59">
        <v>321001</v>
      </c>
      <c r="I1359" s="64" t="s">
        <v>675</v>
      </c>
      <c r="J1359" s="39">
        <v>31668</v>
      </c>
      <c r="K1359" s="39">
        <v>31668</v>
      </c>
      <c r="L1359" s="39">
        <v>31668</v>
      </c>
      <c r="M1359" s="39">
        <v>31668</v>
      </c>
      <c r="N1359" s="65">
        <f>Tabla11[[#This Row],[TRIMESTRE  I]]+Tabla11[[#This Row],[TRIMESTRE II]]+Tabla11[[#This Row],[TRIMESTRE III]]+Tabla11[[#This Row],[TRIMESTRE IV]]</f>
        <v>126672</v>
      </c>
      <c r="O1359" s="39" t="s">
        <v>6</v>
      </c>
      <c r="P1359" s="79" t="s">
        <v>653</v>
      </c>
      <c r="Q1359" s="59" t="s">
        <v>654</v>
      </c>
    </row>
    <row r="1360" spans="2:17" ht="22.5" x14ac:dyDescent="0.2">
      <c r="B1360" s="66">
        <v>1600000</v>
      </c>
      <c r="C1360" s="67" t="s">
        <v>649</v>
      </c>
      <c r="D1360" s="37">
        <v>530</v>
      </c>
      <c r="E1360" s="68" t="str">
        <f>IF(D1360&lt;=0,"",VLOOKUP(D1360,[11]FF!A:D,2,0))</f>
        <v>PARTICIPACIONES Ramo 28</v>
      </c>
      <c r="F1360" s="37">
        <v>1601000</v>
      </c>
      <c r="G1360" s="37" t="s">
        <v>458</v>
      </c>
      <c r="H1360" s="59">
        <v>322001</v>
      </c>
      <c r="I1360" s="64" t="s">
        <v>676</v>
      </c>
      <c r="J1360" s="39">
        <v>31668</v>
      </c>
      <c r="K1360" s="39">
        <v>31668</v>
      </c>
      <c r="L1360" s="39">
        <v>31668</v>
      </c>
      <c r="M1360" s="39">
        <v>31668</v>
      </c>
      <c r="N1360" s="65">
        <f>Tabla11[[#This Row],[TRIMESTRE  I]]+Tabla11[[#This Row],[TRIMESTRE II]]+Tabla11[[#This Row],[TRIMESTRE III]]+Tabla11[[#This Row],[TRIMESTRE IV]]</f>
        <v>126672</v>
      </c>
      <c r="O1360" s="39" t="s">
        <v>6</v>
      </c>
      <c r="P1360" s="79" t="s">
        <v>653</v>
      </c>
      <c r="Q1360" s="59" t="s">
        <v>654</v>
      </c>
    </row>
    <row r="1361" spans="2:17" ht="22.5" x14ac:dyDescent="0.2">
      <c r="B1361" s="66">
        <v>1600000</v>
      </c>
      <c r="C1361" s="67" t="s">
        <v>649</v>
      </c>
      <c r="D1361" s="37">
        <v>530</v>
      </c>
      <c r="E1361" s="68" t="str">
        <f>IF(D1361&lt;=0,"",VLOOKUP(D1361,[11]FF!A:D,2,0))</f>
        <v>PARTICIPACIONES Ramo 28</v>
      </c>
      <c r="F1361" s="37">
        <v>1601000</v>
      </c>
      <c r="G1361" s="37" t="s">
        <v>458</v>
      </c>
      <c r="H1361" s="59">
        <v>323001</v>
      </c>
      <c r="I1361" s="64" t="s">
        <v>677</v>
      </c>
      <c r="J1361" s="39">
        <v>3873</v>
      </c>
      <c r="K1361" s="39">
        <v>3873</v>
      </c>
      <c r="L1361" s="39">
        <v>3873</v>
      </c>
      <c r="M1361" s="39">
        <v>3873</v>
      </c>
      <c r="N1361" s="65">
        <f>Tabla11[[#This Row],[TRIMESTRE  I]]+Tabla11[[#This Row],[TRIMESTRE II]]+Tabla11[[#This Row],[TRIMESTRE III]]+Tabla11[[#This Row],[TRIMESTRE IV]]</f>
        <v>15492</v>
      </c>
      <c r="O1361" s="39" t="s">
        <v>5</v>
      </c>
      <c r="P1361" s="79" t="s">
        <v>653</v>
      </c>
      <c r="Q1361" s="59" t="s">
        <v>654</v>
      </c>
    </row>
    <row r="1362" spans="2:17" ht="22.5" x14ac:dyDescent="0.2">
      <c r="B1362" s="66">
        <v>1600000</v>
      </c>
      <c r="C1362" s="67" t="s">
        <v>649</v>
      </c>
      <c r="D1362" s="37">
        <v>530</v>
      </c>
      <c r="E1362" s="68" t="str">
        <f>IF(D1362&lt;=0,"",VLOOKUP(D1362,[11]FF!A:D,2,0))</f>
        <v>PARTICIPACIONES Ramo 28</v>
      </c>
      <c r="F1362" s="37">
        <v>1601000</v>
      </c>
      <c r="G1362" s="37" t="s">
        <v>458</v>
      </c>
      <c r="H1362" s="59">
        <v>325001</v>
      </c>
      <c r="I1362" s="64" t="s">
        <v>678</v>
      </c>
      <c r="J1362" s="39">
        <v>1540</v>
      </c>
      <c r="K1362" s="39">
        <v>14504</v>
      </c>
      <c r="L1362" s="39">
        <v>3757</v>
      </c>
      <c r="M1362" s="39">
        <v>5673</v>
      </c>
      <c r="N1362" s="65">
        <f>Tabla11[[#This Row],[TRIMESTRE  I]]+Tabla11[[#This Row],[TRIMESTRE II]]+Tabla11[[#This Row],[TRIMESTRE III]]+Tabla11[[#This Row],[TRIMESTRE IV]]</f>
        <v>25474</v>
      </c>
      <c r="O1362" s="39" t="s">
        <v>6</v>
      </c>
      <c r="P1362" s="79" t="s">
        <v>653</v>
      </c>
      <c r="Q1362" s="59" t="s">
        <v>654</v>
      </c>
    </row>
    <row r="1363" spans="2:17" ht="22.5" x14ac:dyDescent="0.2">
      <c r="B1363" s="66">
        <v>1600000</v>
      </c>
      <c r="C1363" s="67" t="s">
        <v>649</v>
      </c>
      <c r="D1363" s="37">
        <v>530</v>
      </c>
      <c r="E1363" s="68" t="str">
        <f>IF(D1363&lt;=0,"",VLOOKUP(D1363,[11]FF!A:D,2,0))</f>
        <v>PARTICIPACIONES Ramo 28</v>
      </c>
      <c r="F1363" s="37">
        <v>1601000</v>
      </c>
      <c r="G1363" s="37" t="s">
        <v>458</v>
      </c>
      <c r="H1363" s="59">
        <v>329001</v>
      </c>
      <c r="I1363" s="64" t="s">
        <v>679</v>
      </c>
      <c r="J1363" s="39">
        <v>3234</v>
      </c>
      <c r="K1363" s="39">
        <v>4467</v>
      </c>
      <c r="L1363" s="39">
        <v>1223</v>
      </c>
      <c r="M1363" s="39">
        <v>1310</v>
      </c>
      <c r="N1363" s="65">
        <f>Tabla11[[#This Row],[TRIMESTRE  I]]+Tabla11[[#This Row],[TRIMESTRE II]]+Tabla11[[#This Row],[TRIMESTRE III]]+Tabla11[[#This Row],[TRIMESTRE IV]]</f>
        <v>10234</v>
      </c>
      <c r="O1363" s="39" t="s">
        <v>6</v>
      </c>
      <c r="P1363" s="79" t="s">
        <v>658</v>
      </c>
      <c r="Q1363" s="59" t="s">
        <v>654</v>
      </c>
    </row>
    <row r="1364" spans="2:17" ht="22.5" x14ac:dyDescent="0.2">
      <c r="B1364" s="66">
        <v>1600000</v>
      </c>
      <c r="C1364" s="67" t="s">
        <v>649</v>
      </c>
      <c r="D1364" s="37">
        <v>530</v>
      </c>
      <c r="E1364" s="68" t="str">
        <f>IF(D1364&lt;=0,"",VLOOKUP(D1364,[11]FF!A:D,2,0))</f>
        <v>PARTICIPACIONES Ramo 28</v>
      </c>
      <c r="F1364" s="37">
        <v>1601000</v>
      </c>
      <c r="G1364" s="37" t="s">
        <v>458</v>
      </c>
      <c r="H1364" s="59">
        <v>334001</v>
      </c>
      <c r="I1364" s="64" t="s">
        <v>680</v>
      </c>
      <c r="J1364" s="39">
        <v>61743</v>
      </c>
      <c r="K1364" s="39">
        <v>66527</v>
      </c>
      <c r="L1364" s="39">
        <v>45572</v>
      </c>
      <c r="M1364" s="39">
        <v>46983</v>
      </c>
      <c r="N1364" s="65">
        <f>Tabla11[[#This Row],[TRIMESTRE  I]]+Tabla11[[#This Row],[TRIMESTRE II]]+Tabla11[[#This Row],[TRIMESTRE III]]+Tabla11[[#This Row],[TRIMESTRE IV]]</f>
        <v>220825</v>
      </c>
      <c r="O1364" s="39" t="s">
        <v>6</v>
      </c>
      <c r="P1364" s="79" t="s">
        <v>651</v>
      </c>
      <c r="Q1364" s="59" t="s">
        <v>654</v>
      </c>
    </row>
    <row r="1365" spans="2:17" ht="22.5" x14ac:dyDescent="0.2">
      <c r="B1365" s="66">
        <v>1600000</v>
      </c>
      <c r="C1365" s="67" t="s">
        <v>649</v>
      </c>
      <c r="D1365" s="37">
        <v>530</v>
      </c>
      <c r="E1365" s="68" t="str">
        <f>IF(D1365&lt;=0,"",VLOOKUP(D1365,[11]FF!A:D,2,0))</f>
        <v>PARTICIPACIONES Ramo 28</v>
      </c>
      <c r="F1365" s="37">
        <v>1601000</v>
      </c>
      <c r="G1365" s="37" t="s">
        <v>458</v>
      </c>
      <c r="H1365" s="59">
        <v>341001</v>
      </c>
      <c r="I1365" s="64" t="s">
        <v>681</v>
      </c>
      <c r="J1365" s="39">
        <v>1250</v>
      </c>
      <c r="K1365" s="39">
        <v>1165</v>
      </c>
      <c r="L1365" s="39">
        <v>787</v>
      </c>
      <c r="M1365" s="39">
        <v>1016</v>
      </c>
      <c r="N1365" s="65">
        <f>Tabla11[[#This Row],[TRIMESTRE  I]]+Tabla11[[#This Row],[TRIMESTRE II]]+Tabla11[[#This Row],[TRIMESTRE III]]+Tabla11[[#This Row],[TRIMESTRE IV]]</f>
        <v>4218</v>
      </c>
      <c r="O1365" s="39" t="s">
        <v>6</v>
      </c>
      <c r="P1365" s="79" t="s">
        <v>653</v>
      </c>
      <c r="Q1365" s="59" t="s">
        <v>654</v>
      </c>
    </row>
    <row r="1366" spans="2:17" ht="22.5" x14ac:dyDescent="0.2">
      <c r="B1366" s="66">
        <v>1600000</v>
      </c>
      <c r="C1366" s="67" t="s">
        <v>649</v>
      </c>
      <c r="D1366" s="37">
        <v>530</v>
      </c>
      <c r="E1366" s="68" t="str">
        <f>IF(D1366&lt;=0,"",VLOOKUP(D1366,[11]FF!A:D,2,0))</f>
        <v>PARTICIPACIONES Ramo 28</v>
      </c>
      <c r="F1366" s="37">
        <v>1601000</v>
      </c>
      <c r="G1366" s="37" t="s">
        <v>458</v>
      </c>
      <c r="H1366" s="59">
        <v>345001</v>
      </c>
      <c r="I1366" s="64" t="s">
        <v>682</v>
      </c>
      <c r="J1366" s="39">
        <v>30141</v>
      </c>
      <c r="K1366" s="39">
        <v>134330</v>
      </c>
      <c r="L1366" s="39">
        <v>52208</v>
      </c>
      <c r="M1366" s="39">
        <v>43350</v>
      </c>
      <c r="N1366" s="65">
        <f>Tabla11[[#This Row],[TRIMESTRE  I]]+Tabla11[[#This Row],[TRIMESTRE II]]+Tabla11[[#This Row],[TRIMESTRE III]]+Tabla11[[#This Row],[TRIMESTRE IV]]</f>
        <v>260029</v>
      </c>
      <c r="O1366" s="39" t="s">
        <v>5</v>
      </c>
      <c r="P1366" s="79" t="s">
        <v>650</v>
      </c>
      <c r="Q1366" s="59" t="s">
        <v>587</v>
      </c>
    </row>
    <row r="1367" spans="2:17" ht="22.5" x14ac:dyDescent="0.2">
      <c r="B1367" s="66">
        <v>1600000</v>
      </c>
      <c r="C1367" s="67" t="s">
        <v>649</v>
      </c>
      <c r="D1367" s="37">
        <v>530</v>
      </c>
      <c r="E1367" s="68" t="str">
        <f>IF(D1367&lt;=0,"",VLOOKUP(D1367,[11]FF!A:D,2,0))</f>
        <v>PARTICIPACIONES Ramo 28</v>
      </c>
      <c r="F1367" s="37">
        <v>1601000</v>
      </c>
      <c r="G1367" s="37" t="s">
        <v>458</v>
      </c>
      <c r="H1367" s="59">
        <v>347001</v>
      </c>
      <c r="I1367" s="64" t="s">
        <v>683</v>
      </c>
      <c r="J1367" s="39">
        <v>26589</v>
      </c>
      <c r="K1367" s="39">
        <v>48852</v>
      </c>
      <c r="L1367" s="39">
        <v>17604</v>
      </c>
      <c r="M1367" s="39">
        <v>17348</v>
      </c>
      <c r="N1367" s="65">
        <f>Tabla11[[#This Row],[TRIMESTRE  I]]+Tabla11[[#This Row],[TRIMESTRE II]]+Tabla11[[#This Row],[TRIMESTRE III]]+Tabla11[[#This Row],[TRIMESTRE IV]]</f>
        <v>110393</v>
      </c>
      <c r="O1367" s="39" t="s">
        <v>6</v>
      </c>
      <c r="P1367" s="79" t="s">
        <v>658</v>
      </c>
      <c r="Q1367" s="59" t="s">
        <v>654</v>
      </c>
    </row>
    <row r="1368" spans="2:17" ht="22.5" x14ac:dyDescent="0.2">
      <c r="B1368" s="66">
        <v>1600000</v>
      </c>
      <c r="C1368" s="67" t="s">
        <v>649</v>
      </c>
      <c r="D1368" s="37">
        <v>530</v>
      </c>
      <c r="E1368" s="68" t="str">
        <f>IF(D1368&lt;=0,"",VLOOKUP(D1368,[11]FF!A:D,2,0))</f>
        <v>PARTICIPACIONES Ramo 28</v>
      </c>
      <c r="F1368" s="37">
        <v>1601000</v>
      </c>
      <c r="G1368" s="37" t="s">
        <v>458</v>
      </c>
      <c r="H1368" s="59">
        <v>351001</v>
      </c>
      <c r="I1368" s="64" t="s">
        <v>684</v>
      </c>
      <c r="J1368" s="39">
        <v>30702</v>
      </c>
      <c r="K1368" s="39">
        <v>82515</v>
      </c>
      <c r="L1368" s="39">
        <v>24934</v>
      </c>
      <c r="M1368" s="39">
        <v>26265</v>
      </c>
      <c r="N1368" s="65">
        <f>Tabla11[[#This Row],[TRIMESTRE  I]]+Tabla11[[#This Row],[TRIMESTRE II]]+Tabla11[[#This Row],[TRIMESTRE III]]+Tabla11[[#This Row],[TRIMESTRE IV]]</f>
        <v>164416</v>
      </c>
      <c r="O1368" s="39" t="s">
        <v>6</v>
      </c>
      <c r="P1368" s="79" t="s">
        <v>658</v>
      </c>
      <c r="Q1368" s="59" t="s">
        <v>654</v>
      </c>
    </row>
    <row r="1369" spans="2:17" ht="22.5" x14ac:dyDescent="0.2">
      <c r="B1369" s="66">
        <v>1600000</v>
      </c>
      <c r="C1369" s="67" t="s">
        <v>649</v>
      </c>
      <c r="D1369" s="37">
        <v>530</v>
      </c>
      <c r="E1369" s="68" t="str">
        <f>IF(D1369&lt;=0,"",VLOOKUP(D1369,[11]FF!A:D,2,0))</f>
        <v>PARTICIPACIONES Ramo 28</v>
      </c>
      <c r="F1369" s="37">
        <v>1601000</v>
      </c>
      <c r="G1369" s="37" t="s">
        <v>458</v>
      </c>
      <c r="H1369" s="59">
        <v>352001</v>
      </c>
      <c r="I1369" s="64" t="s">
        <v>685</v>
      </c>
      <c r="J1369" s="39">
        <v>22543</v>
      </c>
      <c r="K1369" s="39">
        <v>47501</v>
      </c>
      <c r="L1369" s="39">
        <v>14352</v>
      </c>
      <c r="M1369" s="39">
        <v>15231</v>
      </c>
      <c r="N1369" s="65">
        <f>Tabla11[[#This Row],[TRIMESTRE  I]]+Tabla11[[#This Row],[TRIMESTRE II]]+Tabla11[[#This Row],[TRIMESTRE III]]+Tabla11[[#This Row],[TRIMESTRE IV]]</f>
        <v>99627</v>
      </c>
      <c r="O1369" s="39" t="s">
        <v>6</v>
      </c>
      <c r="P1369" s="79" t="s">
        <v>658</v>
      </c>
      <c r="Q1369" s="59" t="s">
        <v>654</v>
      </c>
    </row>
    <row r="1370" spans="2:17" ht="22.5" x14ac:dyDescent="0.2">
      <c r="B1370" s="66">
        <v>1600000</v>
      </c>
      <c r="C1370" s="67" t="s">
        <v>649</v>
      </c>
      <c r="D1370" s="37">
        <v>530</v>
      </c>
      <c r="E1370" s="68" t="str">
        <f>IF(D1370&lt;=0,"",VLOOKUP(D1370,[11]FF!A:D,2,0))</f>
        <v>PARTICIPACIONES Ramo 28</v>
      </c>
      <c r="F1370" s="37">
        <v>1601000</v>
      </c>
      <c r="G1370" s="37" t="s">
        <v>458</v>
      </c>
      <c r="H1370" s="59">
        <v>352002</v>
      </c>
      <c r="I1370" s="64" t="s">
        <v>686</v>
      </c>
      <c r="J1370" s="39">
        <v>4508</v>
      </c>
      <c r="K1370" s="39">
        <v>4765</v>
      </c>
      <c r="L1370" s="39">
        <v>1597</v>
      </c>
      <c r="M1370" s="39">
        <v>1948</v>
      </c>
      <c r="N1370" s="65">
        <f>Tabla11[[#This Row],[TRIMESTRE  I]]+Tabla11[[#This Row],[TRIMESTRE II]]+Tabla11[[#This Row],[TRIMESTRE III]]+Tabla11[[#This Row],[TRIMESTRE IV]]</f>
        <v>12818</v>
      </c>
      <c r="O1370" s="39" t="s">
        <v>6</v>
      </c>
      <c r="P1370" s="79" t="s">
        <v>658</v>
      </c>
      <c r="Q1370" s="59" t="s">
        <v>654</v>
      </c>
    </row>
    <row r="1371" spans="2:17" ht="33.75" x14ac:dyDescent="0.2">
      <c r="B1371" s="66">
        <v>1600000</v>
      </c>
      <c r="C1371" s="67" t="s">
        <v>649</v>
      </c>
      <c r="D1371" s="37">
        <v>530</v>
      </c>
      <c r="E1371" s="68" t="str">
        <f>IF(D1371&lt;=0,"",VLOOKUP(D1371,[11]FF!A:D,2,0))</f>
        <v>PARTICIPACIONES Ramo 28</v>
      </c>
      <c r="F1371" s="37">
        <v>1601000</v>
      </c>
      <c r="G1371" s="37" t="s">
        <v>458</v>
      </c>
      <c r="H1371" s="59">
        <v>355001</v>
      </c>
      <c r="I1371" s="64" t="s">
        <v>687</v>
      </c>
      <c r="J1371" s="39">
        <v>184189</v>
      </c>
      <c r="K1371" s="39">
        <v>346823</v>
      </c>
      <c r="L1371" s="39">
        <v>219622</v>
      </c>
      <c r="M1371" s="39">
        <v>185491</v>
      </c>
      <c r="N1371" s="65">
        <f>Tabla11[[#This Row],[TRIMESTRE  I]]+Tabla11[[#This Row],[TRIMESTRE II]]+Tabla11[[#This Row],[TRIMESTRE III]]+Tabla11[[#This Row],[TRIMESTRE IV]]</f>
        <v>936125</v>
      </c>
      <c r="O1371" s="39" t="s">
        <v>15</v>
      </c>
      <c r="P1371" s="79" t="s">
        <v>658</v>
      </c>
      <c r="Q1371" s="59" t="s">
        <v>587</v>
      </c>
    </row>
    <row r="1372" spans="2:17" ht="22.5" x14ac:dyDescent="0.2">
      <c r="B1372" s="66">
        <v>1600000</v>
      </c>
      <c r="C1372" s="67" t="s">
        <v>649</v>
      </c>
      <c r="D1372" s="37">
        <v>530</v>
      </c>
      <c r="E1372" s="68" t="str">
        <f>IF(D1372&lt;=0,"",VLOOKUP(D1372,[11]FF!A:D,2,0))</f>
        <v>PARTICIPACIONES Ramo 28</v>
      </c>
      <c r="F1372" s="37">
        <v>1601000</v>
      </c>
      <c r="G1372" s="37" t="s">
        <v>458</v>
      </c>
      <c r="H1372" s="59">
        <v>358001</v>
      </c>
      <c r="I1372" s="64" t="s">
        <v>688</v>
      </c>
      <c r="J1372" s="39">
        <v>3113</v>
      </c>
      <c r="K1372" s="39">
        <v>5736</v>
      </c>
      <c r="L1372" s="39">
        <v>2610</v>
      </c>
      <c r="M1372" s="39">
        <v>2990</v>
      </c>
      <c r="N1372" s="65">
        <f>Tabla11[[#This Row],[TRIMESTRE  I]]+Tabla11[[#This Row],[TRIMESTRE II]]+Tabla11[[#This Row],[TRIMESTRE III]]+Tabla11[[#This Row],[TRIMESTRE IV]]</f>
        <v>14449</v>
      </c>
      <c r="O1372" s="39" t="s">
        <v>6</v>
      </c>
      <c r="P1372" s="79" t="s">
        <v>658</v>
      </c>
      <c r="Q1372" s="59" t="s">
        <v>654</v>
      </c>
    </row>
    <row r="1373" spans="2:17" ht="22.5" x14ac:dyDescent="0.2">
      <c r="B1373" s="66">
        <v>1600000</v>
      </c>
      <c r="C1373" s="67" t="s">
        <v>649</v>
      </c>
      <c r="D1373" s="37">
        <v>530</v>
      </c>
      <c r="E1373" s="68" t="str">
        <f>IF(D1373&lt;=0,"",VLOOKUP(D1373,[11]FF!A:D,2,0))</f>
        <v>PARTICIPACIONES Ramo 28</v>
      </c>
      <c r="F1373" s="37">
        <v>1601000</v>
      </c>
      <c r="G1373" s="37" t="s">
        <v>458</v>
      </c>
      <c r="H1373" s="59">
        <v>358002</v>
      </c>
      <c r="I1373" s="64" t="s">
        <v>689</v>
      </c>
      <c r="J1373" s="39">
        <v>3614</v>
      </c>
      <c r="K1373" s="39">
        <v>7947</v>
      </c>
      <c r="L1373" s="39">
        <v>2701</v>
      </c>
      <c r="M1373" s="39">
        <v>1337</v>
      </c>
      <c r="N1373" s="65">
        <f>Tabla11[[#This Row],[TRIMESTRE  I]]+Tabla11[[#This Row],[TRIMESTRE II]]+Tabla11[[#This Row],[TRIMESTRE III]]+Tabla11[[#This Row],[TRIMESTRE IV]]</f>
        <v>15599</v>
      </c>
      <c r="O1373" s="39" t="s">
        <v>6</v>
      </c>
      <c r="P1373" s="79" t="s">
        <v>653</v>
      </c>
      <c r="Q1373" s="59" t="s">
        <v>654</v>
      </c>
    </row>
    <row r="1374" spans="2:17" ht="22.5" x14ac:dyDescent="0.2">
      <c r="B1374" s="66">
        <v>1600000</v>
      </c>
      <c r="C1374" s="67" t="s">
        <v>649</v>
      </c>
      <c r="D1374" s="37">
        <v>530</v>
      </c>
      <c r="E1374" s="68" t="str">
        <f>IF(D1374&lt;=0,"",VLOOKUP(D1374,[11]FF!A:D,2,0))</f>
        <v>PARTICIPACIONES Ramo 28</v>
      </c>
      <c r="F1374" s="37">
        <v>1601000</v>
      </c>
      <c r="G1374" s="37" t="s">
        <v>458</v>
      </c>
      <c r="H1374" s="59">
        <v>359001</v>
      </c>
      <c r="I1374" s="64" t="s">
        <v>690</v>
      </c>
      <c r="J1374" s="39">
        <v>1231</v>
      </c>
      <c r="K1374" s="39">
        <v>1810</v>
      </c>
      <c r="L1374" s="39">
        <v>0</v>
      </c>
      <c r="M1374" s="39">
        <v>0</v>
      </c>
      <c r="N1374" s="65">
        <f>Tabla11[[#This Row],[TRIMESTRE  I]]+Tabla11[[#This Row],[TRIMESTRE II]]+Tabla11[[#This Row],[TRIMESTRE III]]+Tabla11[[#This Row],[TRIMESTRE IV]]</f>
        <v>3041</v>
      </c>
      <c r="O1374" s="39" t="s">
        <v>6</v>
      </c>
      <c r="P1374" s="79" t="s">
        <v>653</v>
      </c>
      <c r="Q1374" s="59" t="s">
        <v>654</v>
      </c>
    </row>
    <row r="1375" spans="2:17" ht="22.5" x14ac:dyDescent="0.2">
      <c r="B1375" s="66">
        <v>1600000</v>
      </c>
      <c r="C1375" s="67" t="s">
        <v>649</v>
      </c>
      <c r="D1375" s="37">
        <v>530</v>
      </c>
      <c r="E1375" s="68" t="str">
        <f>IF(D1375&lt;=0,"",VLOOKUP(D1375,[11]FF!A:D,2,0))</f>
        <v>PARTICIPACIONES Ramo 28</v>
      </c>
      <c r="F1375" s="37">
        <v>1601000</v>
      </c>
      <c r="G1375" s="37" t="s">
        <v>458</v>
      </c>
      <c r="H1375" s="59">
        <v>361002</v>
      </c>
      <c r="I1375" s="64" t="s">
        <v>691</v>
      </c>
      <c r="J1375" s="39">
        <v>44479</v>
      </c>
      <c r="K1375" s="39">
        <v>80985</v>
      </c>
      <c r="L1375" s="39">
        <v>22317</v>
      </c>
      <c r="M1375" s="39">
        <v>26757</v>
      </c>
      <c r="N1375" s="65">
        <f>Tabla11[[#This Row],[TRIMESTRE  I]]+Tabla11[[#This Row],[TRIMESTRE II]]+Tabla11[[#This Row],[TRIMESTRE III]]+Tabla11[[#This Row],[TRIMESTRE IV]]</f>
        <v>174538</v>
      </c>
      <c r="O1375" s="39" t="s">
        <v>6</v>
      </c>
      <c r="P1375" s="79" t="s">
        <v>658</v>
      </c>
      <c r="Q1375" s="59" t="s">
        <v>654</v>
      </c>
    </row>
    <row r="1376" spans="2:17" ht="22.5" x14ac:dyDescent="0.2">
      <c r="B1376" s="66">
        <v>1600000</v>
      </c>
      <c r="C1376" s="67" t="s">
        <v>649</v>
      </c>
      <c r="D1376" s="37">
        <v>530</v>
      </c>
      <c r="E1376" s="68" t="str">
        <f>IF(D1376&lt;=0,"",VLOOKUP(D1376,[11]FF!A:D,2,0))</f>
        <v>PARTICIPACIONES Ramo 28</v>
      </c>
      <c r="F1376" s="37">
        <v>1601000</v>
      </c>
      <c r="G1376" s="37" t="s">
        <v>458</v>
      </c>
      <c r="H1376" s="59">
        <v>361003</v>
      </c>
      <c r="I1376" s="64" t="s">
        <v>692</v>
      </c>
      <c r="J1376" s="39">
        <v>11140</v>
      </c>
      <c r="K1376" s="39">
        <v>17444</v>
      </c>
      <c r="L1376" s="39">
        <v>6326</v>
      </c>
      <c r="M1376" s="39">
        <v>6650</v>
      </c>
      <c r="N1376" s="65">
        <f>Tabla11[[#This Row],[TRIMESTRE  I]]+Tabla11[[#This Row],[TRIMESTRE II]]+Tabla11[[#This Row],[TRIMESTRE III]]+Tabla11[[#This Row],[TRIMESTRE IV]]</f>
        <v>41560</v>
      </c>
      <c r="O1376" s="39" t="s">
        <v>6</v>
      </c>
      <c r="P1376" s="79" t="s">
        <v>651</v>
      </c>
      <c r="Q1376" s="59" t="s">
        <v>654</v>
      </c>
    </row>
    <row r="1377" spans="2:17" ht="22.5" x14ac:dyDescent="0.2">
      <c r="B1377" s="66">
        <v>1600000</v>
      </c>
      <c r="C1377" s="67" t="s">
        <v>649</v>
      </c>
      <c r="D1377" s="37">
        <v>530</v>
      </c>
      <c r="E1377" s="68" t="str">
        <f>IF(D1377&lt;=0,"",VLOOKUP(D1377,[11]FF!A:D,2,0))</f>
        <v>PARTICIPACIONES Ramo 28</v>
      </c>
      <c r="F1377" s="37">
        <v>1601000</v>
      </c>
      <c r="G1377" s="37" t="s">
        <v>458</v>
      </c>
      <c r="H1377" s="59">
        <v>371001</v>
      </c>
      <c r="I1377" s="64" t="s">
        <v>693</v>
      </c>
      <c r="J1377" s="39">
        <v>105058</v>
      </c>
      <c r="K1377" s="39">
        <v>188676</v>
      </c>
      <c r="L1377" s="39">
        <v>97916</v>
      </c>
      <c r="M1377" s="39">
        <v>63892</v>
      </c>
      <c r="N1377" s="65">
        <f>Tabla11[[#This Row],[TRIMESTRE  I]]+Tabla11[[#This Row],[TRIMESTRE II]]+Tabla11[[#This Row],[TRIMESTRE III]]+Tabla11[[#This Row],[TRIMESTRE IV]]</f>
        <v>455542</v>
      </c>
      <c r="O1377" s="39" t="s">
        <v>5</v>
      </c>
      <c r="P1377" s="79" t="s">
        <v>653</v>
      </c>
      <c r="Q1377" s="59" t="s">
        <v>581</v>
      </c>
    </row>
    <row r="1378" spans="2:17" ht="22.5" x14ac:dyDescent="0.2">
      <c r="B1378" s="66">
        <v>1600000</v>
      </c>
      <c r="C1378" s="67" t="s">
        <v>649</v>
      </c>
      <c r="D1378" s="37">
        <v>530</v>
      </c>
      <c r="E1378" s="68" t="str">
        <f>IF(D1378&lt;=0,"",VLOOKUP(D1378,[11]FF!A:D,2,0))</f>
        <v>PARTICIPACIONES Ramo 28</v>
      </c>
      <c r="F1378" s="37">
        <v>1601000</v>
      </c>
      <c r="G1378" s="37" t="s">
        <v>458</v>
      </c>
      <c r="H1378" s="59">
        <v>375001</v>
      </c>
      <c r="I1378" s="64" t="s">
        <v>694</v>
      </c>
      <c r="J1378" s="39">
        <v>221389</v>
      </c>
      <c r="K1378" s="39">
        <v>411806</v>
      </c>
      <c r="L1378" s="39">
        <v>267971</v>
      </c>
      <c r="M1378" s="39">
        <v>230019</v>
      </c>
      <c r="N1378" s="65">
        <f>Tabla11[[#This Row],[TRIMESTRE  I]]+Tabla11[[#This Row],[TRIMESTRE II]]+Tabla11[[#This Row],[TRIMESTRE III]]+Tabla11[[#This Row],[TRIMESTRE IV]]</f>
        <v>1131185</v>
      </c>
      <c r="O1378" s="39" t="s">
        <v>6</v>
      </c>
      <c r="P1378" s="79" t="s">
        <v>653</v>
      </c>
      <c r="Q1378" s="59" t="s">
        <v>654</v>
      </c>
    </row>
    <row r="1379" spans="2:17" ht="33.75" x14ac:dyDescent="0.2">
      <c r="B1379" s="66">
        <v>1600000</v>
      </c>
      <c r="C1379" s="67" t="s">
        <v>649</v>
      </c>
      <c r="D1379" s="37">
        <v>530</v>
      </c>
      <c r="E1379" s="68" t="str">
        <f>IF(D1379&lt;=0,"",VLOOKUP(D1379,[11]FF!A:D,2,0))</f>
        <v>PARTICIPACIONES Ramo 28</v>
      </c>
      <c r="F1379" s="37">
        <v>1601000</v>
      </c>
      <c r="G1379" s="37" t="s">
        <v>458</v>
      </c>
      <c r="H1379" s="59">
        <v>382002</v>
      </c>
      <c r="I1379" s="64" t="s">
        <v>695</v>
      </c>
      <c r="J1379" s="39">
        <v>49188</v>
      </c>
      <c r="K1379" s="39">
        <v>110613</v>
      </c>
      <c r="L1379" s="39">
        <v>49190</v>
      </c>
      <c r="M1379" s="39">
        <v>41692</v>
      </c>
      <c r="N1379" s="65">
        <f>Tabla11[[#This Row],[TRIMESTRE  I]]+Tabla11[[#This Row],[TRIMESTRE II]]+Tabla11[[#This Row],[TRIMESTRE III]]+Tabla11[[#This Row],[TRIMESTRE IV]]</f>
        <v>250683</v>
      </c>
      <c r="O1379" s="39" t="s">
        <v>6</v>
      </c>
      <c r="P1379" s="79" t="s">
        <v>658</v>
      </c>
      <c r="Q1379" s="59" t="s">
        <v>654</v>
      </c>
    </row>
    <row r="1380" spans="2:17" ht="22.5" x14ac:dyDescent="0.2">
      <c r="B1380" s="66">
        <v>1600000</v>
      </c>
      <c r="C1380" s="67" t="s">
        <v>649</v>
      </c>
      <c r="D1380" s="37">
        <v>530</v>
      </c>
      <c r="E1380" s="68" t="str">
        <f>IF(D1380&lt;=0,"",VLOOKUP(D1380,[11]FF!A:D,2,0))</f>
        <v>PARTICIPACIONES Ramo 28</v>
      </c>
      <c r="F1380" s="37">
        <v>1601000</v>
      </c>
      <c r="G1380" s="37" t="s">
        <v>458</v>
      </c>
      <c r="H1380" s="59">
        <v>383001</v>
      </c>
      <c r="I1380" s="64" t="s">
        <v>696</v>
      </c>
      <c r="J1380" s="39">
        <v>17060</v>
      </c>
      <c r="K1380" s="39">
        <v>35578</v>
      </c>
      <c r="L1380" s="39">
        <v>12359</v>
      </c>
      <c r="M1380" s="39">
        <v>23434</v>
      </c>
      <c r="N1380" s="65">
        <f>Tabla11[[#This Row],[TRIMESTRE  I]]+Tabla11[[#This Row],[TRIMESTRE II]]+Tabla11[[#This Row],[TRIMESTRE III]]+Tabla11[[#This Row],[TRIMESTRE IV]]</f>
        <v>88431</v>
      </c>
      <c r="O1380" s="39" t="s">
        <v>6</v>
      </c>
      <c r="P1380" s="79" t="s">
        <v>697</v>
      </c>
      <c r="Q1380" s="59" t="s">
        <v>654</v>
      </c>
    </row>
    <row r="1381" spans="2:17" ht="22.5" x14ac:dyDescent="0.2">
      <c r="B1381" s="66">
        <v>1600000</v>
      </c>
      <c r="C1381" s="67" t="s">
        <v>649</v>
      </c>
      <c r="D1381" s="37">
        <v>530</v>
      </c>
      <c r="E1381" s="68" t="str">
        <f>IF(D1381&lt;=0,"",VLOOKUP(D1381,[11]FF!A:D,2,0))</f>
        <v>PARTICIPACIONES Ramo 28</v>
      </c>
      <c r="F1381" s="37">
        <v>1601000</v>
      </c>
      <c r="G1381" s="37" t="s">
        <v>458</v>
      </c>
      <c r="H1381" s="59">
        <v>392001</v>
      </c>
      <c r="I1381" s="64" t="s">
        <v>698</v>
      </c>
      <c r="J1381" s="39">
        <v>6562</v>
      </c>
      <c r="K1381" s="39">
        <v>20185</v>
      </c>
      <c r="L1381" s="39">
        <v>2350</v>
      </c>
      <c r="M1381" s="39">
        <v>2067</v>
      </c>
      <c r="N1381" s="65">
        <f>Tabla11[[#This Row],[TRIMESTRE  I]]+Tabla11[[#This Row],[TRIMESTRE II]]+Tabla11[[#This Row],[TRIMESTRE III]]+Tabla11[[#This Row],[TRIMESTRE IV]]</f>
        <v>31164</v>
      </c>
      <c r="O1381" s="39" t="s">
        <v>6</v>
      </c>
      <c r="P1381" s="79" t="s">
        <v>658</v>
      </c>
      <c r="Q1381" s="59" t="s">
        <v>654</v>
      </c>
    </row>
    <row r="1382" spans="2:17" ht="22.5" x14ac:dyDescent="0.2">
      <c r="B1382" s="66">
        <v>1600000</v>
      </c>
      <c r="C1382" s="67" t="s">
        <v>649</v>
      </c>
      <c r="D1382" s="37">
        <v>530</v>
      </c>
      <c r="E1382" s="68" t="str">
        <f>IF(D1382&lt;=0,"",VLOOKUP(D1382,[11]FF!A:D,2,0))</f>
        <v>PARTICIPACIONES Ramo 28</v>
      </c>
      <c r="F1382" s="37">
        <v>1601000</v>
      </c>
      <c r="G1382" s="37" t="s">
        <v>458</v>
      </c>
      <c r="H1382" s="59">
        <v>399001</v>
      </c>
      <c r="I1382" s="64" t="s">
        <v>699</v>
      </c>
      <c r="J1382" s="39">
        <v>10206</v>
      </c>
      <c r="K1382" s="39">
        <v>16485</v>
      </c>
      <c r="L1382" s="39">
        <v>7139</v>
      </c>
      <c r="M1382" s="39">
        <v>6830</v>
      </c>
      <c r="N1382" s="65">
        <f>Tabla11[[#This Row],[TRIMESTRE  I]]+Tabla11[[#This Row],[TRIMESTRE II]]+Tabla11[[#This Row],[TRIMESTRE III]]+Tabla11[[#This Row],[TRIMESTRE IV]]</f>
        <v>40660</v>
      </c>
      <c r="O1382" s="39" t="s">
        <v>6</v>
      </c>
      <c r="P1382" s="79" t="s">
        <v>653</v>
      </c>
      <c r="Q1382" s="59" t="s">
        <v>654</v>
      </c>
    </row>
    <row r="1383" spans="2:17" x14ac:dyDescent="0.2">
      <c r="B1383" s="66"/>
      <c r="C1383" s="67"/>
      <c r="D1383" s="37"/>
      <c r="E1383" s="68"/>
      <c r="F1383" s="37"/>
      <c r="G1383" s="37"/>
      <c r="H1383" s="59"/>
      <c r="I1383" s="64"/>
      <c r="J1383" s="39"/>
      <c r="K1383" s="39"/>
      <c r="L1383" s="39"/>
      <c r="M1383" s="39"/>
      <c r="N1383" s="65">
        <f>SUBTOTAL(109,Tabla11[[PRESUPUESTO ANUAL AUTORIZADO ]])</f>
        <v>10569378</v>
      </c>
      <c r="O1383" s="39"/>
      <c r="P1383" s="79"/>
      <c r="Q1383" s="59"/>
    </row>
    <row r="1384" spans="2:17" x14ac:dyDescent="0.2">
      <c r="B1384" s="66"/>
      <c r="C1384" s="67"/>
      <c r="D1384" s="37"/>
      <c r="E1384" s="68"/>
      <c r="F1384" s="37"/>
      <c r="G1384" s="37"/>
      <c r="H1384" s="59"/>
      <c r="I1384" s="64"/>
      <c r="J1384" s="39"/>
      <c r="K1384" s="39"/>
      <c r="L1384" s="39"/>
      <c r="M1384" s="39"/>
      <c r="N1384" s="65"/>
      <c r="O1384" s="39"/>
      <c r="P1384" s="79"/>
      <c r="Q1384" s="59"/>
    </row>
    <row r="1385" spans="2:17" ht="23.25" x14ac:dyDescent="0.2">
      <c r="B1385" s="111" t="s">
        <v>4</v>
      </c>
      <c r="C1385" s="111"/>
      <c r="D1385" s="111"/>
      <c r="E1385" s="111"/>
      <c r="F1385" s="111"/>
      <c r="G1385" s="111"/>
      <c r="H1385" s="111"/>
      <c r="I1385" s="111"/>
      <c r="J1385" s="111"/>
      <c r="K1385" s="111"/>
      <c r="L1385" s="111"/>
      <c r="M1385" s="111"/>
      <c r="N1385" s="111"/>
      <c r="O1385" s="111"/>
      <c r="P1385" s="111"/>
      <c r="Q1385" s="111"/>
    </row>
    <row r="1386" spans="2:17" ht="23.25" x14ac:dyDescent="0.2">
      <c r="B1386" s="109" t="s">
        <v>747</v>
      </c>
      <c r="C1386" s="109"/>
      <c r="D1386" s="109"/>
      <c r="E1386" s="109"/>
      <c r="F1386" s="109"/>
      <c r="G1386" s="109"/>
      <c r="H1386" s="109"/>
      <c r="I1386" s="109"/>
      <c r="J1386" s="109"/>
      <c r="K1386" s="109"/>
      <c r="L1386" s="109"/>
      <c r="M1386" s="109"/>
      <c r="N1386" s="109"/>
      <c r="O1386" s="109"/>
      <c r="P1386" s="109"/>
      <c r="Q1386" s="109"/>
    </row>
    <row r="1387" spans="2:17" s="90" customFormat="1" ht="23.25" x14ac:dyDescent="0.2">
      <c r="B1387" s="110" t="s">
        <v>466</v>
      </c>
      <c r="C1387" s="110"/>
      <c r="D1387" s="110"/>
      <c r="E1387" s="110"/>
      <c r="F1387" s="110"/>
      <c r="G1387" s="110"/>
      <c r="H1387" s="110"/>
      <c r="I1387" s="110"/>
      <c r="J1387" s="110"/>
      <c r="K1387" s="110"/>
      <c r="L1387" s="110"/>
      <c r="M1387" s="110"/>
      <c r="N1387" s="110"/>
      <c r="O1387" s="110"/>
      <c r="P1387" s="110"/>
      <c r="Q1387" s="110"/>
    </row>
    <row r="1388" spans="2:17" ht="45" x14ac:dyDescent="0.2">
      <c r="B1388" s="5" t="s">
        <v>9</v>
      </c>
      <c r="C1388" s="5" t="s">
        <v>10</v>
      </c>
      <c r="D1388" s="5" t="s">
        <v>1</v>
      </c>
      <c r="E1388" s="5" t="s">
        <v>0</v>
      </c>
      <c r="F1388" s="78" t="s">
        <v>17</v>
      </c>
      <c r="G1388" s="5" t="s">
        <v>2</v>
      </c>
      <c r="H1388" s="5" t="s">
        <v>11</v>
      </c>
      <c r="I1388" s="5" t="s">
        <v>16</v>
      </c>
      <c r="J1388" s="5" t="s">
        <v>465</v>
      </c>
      <c r="K1388" s="5" t="s">
        <v>462</v>
      </c>
      <c r="L1388" s="5" t="s">
        <v>463</v>
      </c>
      <c r="M1388" s="5" t="s">
        <v>464</v>
      </c>
      <c r="N1388" s="5" t="s">
        <v>12</v>
      </c>
      <c r="O1388" s="5" t="s">
        <v>3</v>
      </c>
      <c r="P1388" s="5" t="s">
        <v>13</v>
      </c>
      <c r="Q1388" s="5" t="s">
        <v>8</v>
      </c>
    </row>
    <row r="1389" spans="2:17" ht="33.75" x14ac:dyDescent="0.2">
      <c r="B1389" s="34">
        <v>1701</v>
      </c>
      <c r="C1389" s="35" t="s">
        <v>723</v>
      </c>
      <c r="D1389" s="36">
        <v>530</v>
      </c>
      <c r="E1389" s="42" t="s">
        <v>588</v>
      </c>
      <c r="F1389" s="37" t="s">
        <v>724</v>
      </c>
      <c r="G1389" s="37" t="s">
        <v>461</v>
      </c>
      <c r="H1389" s="38">
        <v>211001</v>
      </c>
      <c r="I1389" s="41" t="s">
        <v>590</v>
      </c>
      <c r="J1389" s="39">
        <v>18836</v>
      </c>
      <c r="K1389" s="39">
        <v>18501</v>
      </c>
      <c r="L1389" s="39">
        <v>18501</v>
      </c>
      <c r="M1389" s="39">
        <v>18497</v>
      </c>
      <c r="N1389" s="1">
        <v>74335</v>
      </c>
      <c r="O1389" s="39" t="s">
        <v>5</v>
      </c>
      <c r="P1389" s="79">
        <v>45322</v>
      </c>
      <c r="Q1389" s="59" t="s">
        <v>702</v>
      </c>
    </row>
    <row r="1390" spans="2:17" ht="33.75" x14ac:dyDescent="0.2">
      <c r="B1390" s="34">
        <v>1701</v>
      </c>
      <c r="C1390" s="35" t="s">
        <v>723</v>
      </c>
      <c r="D1390" s="36">
        <v>530</v>
      </c>
      <c r="E1390" s="42" t="s">
        <v>588</v>
      </c>
      <c r="F1390" s="37" t="s">
        <v>724</v>
      </c>
      <c r="G1390" s="37" t="s">
        <v>461</v>
      </c>
      <c r="H1390" s="38">
        <v>212001</v>
      </c>
      <c r="I1390" s="41" t="s">
        <v>591</v>
      </c>
      <c r="J1390" s="39">
        <v>31260</v>
      </c>
      <c r="K1390" s="39">
        <v>29577</v>
      </c>
      <c r="L1390" s="39">
        <v>29796</v>
      </c>
      <c r="M1390" s="39">
        <v>28236</v>
      </c>
      <c r="N1390" s="1">
        <v>118869</v>
      </c>
      <c r="O1390" s="39" t="s">
        <v>15</v>
      </c>
      <c r="P1390" s="79">
        <v>45322</v>
      </c>
      <c r="Q1390" s="59" t="s">
        <v>707</v>
      </c>
    </row>
    <row r="1391" spans="2:17" ht="33.75" x14ac:dyDescent="0.2">
      <c r="B1391" s="34">
        <v>1701</v>
      </c>
      <c r="C1391" s="35" t="s">
        <v>723</v>
      </c>
      <c r="D1391" s="36">
        <v>530</v>
      </c>
      <c r="E1391" s="42" t="s">
        <v>588</v>
      </c>
      <c r="F1391" s="37" t="s">
        <v>724</v>
      </c>
      <c r="G1391" s="37" t="s">
        <v>461</v>
      </c>
      <c r="H1391" s="38">
        <v>216001</v>
      </c>
      <c r="I1391" s="41" t="s">
        <v>592</v>
      </c>
      <c r="J1391" s="39">
        <v>19814</v>
      </c>
      <c r="K1391" s="39">
        <v>16296</v>
      </c>
      <c r="L1391" s="39">
        <v>16296</v>
      </c>
      <c r="M1391" s="39">
        <v>18313</v>
      </c>
      <c r="N1391" s="1">
        <v>70719</v>
      </c>
      <c r="O1391" s="39" t="s">
        <v>5</v>
      </c>
      <c r="P1391" s="79">
        <v>45322</v>
      </c>
      <c r="Q1391" s="59" t="s">
        <v>702</v>
      </c>
    </row>
    <row r="1392" spans="2:17" ht="33.75" x14ac:dyDescent="0.2">
      <c r="B1392" s="34">
        <v>1701</v>
      </c>
      <c r="C1392" s="35" t="s">
        <v>723</v>
      </c>
      <c r="D1392" s="36">
        <v>530</v>
      </c>
      <c r="E1392" s="42" t="s">
        <v>588</v>
      </c>
      <c r="F1392" s="37" t="s">
        <v>724</v>
      </c>
      <c r="G1392" s="37" t="s">
        <v>461</v>
      </c>
      <c r="H1392" s="38">
        <v>261001</v>
      </c>
      <c r="I1392" s="41" t="s">
        <v>593</v>
      </c>
      <c r="J1392" s="39">
        <v>54000</v>
      </c>
      <c r="K1392" s="39">
        <v>56500</v>
      </c>
      <c r="L1392" s="39">
        <v>58500</v>
      </c>
      <c r="M1392" s="39">
        <v>58500</v>
      </c>
      <c r="N1392" s="1">
        <v>227500</v>
      </c>
      <c r="O1392" s="39" t="s">
        <v>5</v>
      </c>
      <c r="P1392" s="79">
        <v>45322</v>
      </c>
      <c r="Q1392" s="59" t="s">
        <v>702</v>
      </c>
    </row>
    <row r="1393" spans="2:17" ht="33.75" x14ac:dyDescent="0.2">
      <c r="B1393" s="34">
        <v>1701</v>
      </c>
      <c r="C1393" s="35" t="s">
        <v>723</v>
      </c>
      <c r="D1393" s="36">
        <v>530</v>
      </c>
      <c r="E1393" s="42" t="s">
        <v>588</v>
      </c>
      <c r="F1393" s="37" t="s">
        <v>724</v>
      </c>
      <c r="G1393" s="37" t="s">
        <v>461</v>
      </c>
      <c r="H1393" s="38">
        <v>261002</v>
      </c>
      <c r="I1393" s="41" t="s">
        <v>730</v>
      </c>
      <c r="J1393" s="39">
        <v>3825</v>
      </c>
      <c r="K1393" s="39">
        <v>3516</v>
      </c>
      <c r="L1393" s="39">
        <v>0</v>
      </c>
      <c r="M1393" s="39">
        <v>1323</v>
      </c>
      <c r="N1393" s="1">
        <v>8664</v>
      </c>
      <c r="O1393" s="39" t="s">
        <v>6</v>
      </c>
      <c r="P1393" s="79" t="s">
        <v>712</v>
      </c>
      <c r="Q1393" s="59" t="s">
        <v>704</v>
      </c>
    </row>
    <row r="1394" spans="2:17" ht="33.75" x14ac:dyDescent="0.2">
      <c r="B1394" s="34">
        <v>1701</v>
      </c>
      <c r="C1394" s="35" t="s">
        <v>723</v>
      </c>
      <c r="D1394" s="36">
        <v>530</v>
      </c>
      <c r="E1394" s="42" t="s">
        <v>588</v>
      </c>
      <c r="F1394" s="37" t="s">
        <v>724</v>
      </c>
      <c r="G1394" s="37" t="s">
        <v>461</v>
      </c>
      <c r="H1394" s="38">
        <v>296001</v>
      </c>
      <c r="I1394" s="41" t="s">
        <v>731</v>
      </c>
      <c r="J1394" s="39">
        <v>14718</v>
      </c>
      <c r="K1394" s="39">
        <v>12657</v>
      </c>
      <c r="L1394" s="39">
        <v>14184</v>
      </c>
      <c r="M1394" s="39">
        <v>13372</v>
      </c>
      <c r="N1394" s="1">
        <v>54931</v>
      </c>
      <c r="O1394" s="39" t="s">
        <v>6</v>
      </c>
      <c r="P1394" s="79" t="s">
        <v>709</v>
      </c>
      <c r="Q1394" s="59" t="s">
        <v>704</v>
      </c>
    </row>
    <row r="1395" spans="2:17" ht="33.75" x14ac:dyDescent="0.2">
      <c r="B1395" s="34">
        <v>1701</v>
      </c>
      <c r="C1395" s="35" t="s">
        <v>723</v>
      </c>
      <c r="D1395" s="36">
        <v>530</v>
      </c>
      <c r="E1395" s="42" t="s">
        <v>588</v>
      </c>
      <c r="F1395" s="37" t="s">
        <v>724</v>
      </c>
      <c r="G1395" s="37" t="s">
        <v>458</v>
      </c>
      <c r="H1395" s="38">
        <v>311001</v>
      </c>
      <c r="I1395" s="41" t="s">
        <v>732</v>
      </c>
      <c r="J1395" s="39">
        <v>21947</v>
      </c>
      <c r="K1395" s="39">
        <v>73033</v>
      </c>
      <c r="L1395" s="39">
        <v>63691</v>
      </c>
      <c r="M1395" s="39">
        <v>59236</v>
      </c>
      <c r="N1395" s="1">
        <v>217907</v>
      </c>
      <c r="O1395" s="39"/>
      <c r="P1395" s="79"/>
      <c r="Q1395" s="59"/>
    </row>
    <row r="1396" spans="2:17" ht="33.75" x14ac:dyDescent="0.2">
      <c r="B1396" s="34">
        <v>1701</v>
      </c>
      <c r="C1396" s="35" t="s">
        <v>723</v>
      </c>
      <c r="D1396" s="36">
        <v>530</v>
      </c>
      <c r="E1396" s="42" t="s">
        <v>588</v>
      </c>
      <c r="F1396" s="37" t="s">
        <v>724</v>
      </c>
      <c r="G1396" s="37" t="s">
        <v>458</v>
      </c>
      <c r="H1396" s="38">
        <v>313001</v>
      </c>
      <c r="I1396" s="41" t="s">
        <v>733</v>
      </c>
      <c r="J1396" s="39">
        <v>12780</v>
      </c>
      <c r="K1396" s="39">
        <v>12780</v>
      </c>
      <c r="L1396" s="39">
        <v>12780</v>
      </c>
      <c r="M1396" s="39">
        <v>12780</v>
      </c>
      <c r="N1396" s="1">
        <v>51120</v>
      </c>
      <c r="O1396" s="39"/>
      <c r="P1396" s="79"/>
      <c r="Q1396" s="59"/>
    </row>
    <row r="1397" spans="2:17" ht="33.75" x14ac:dyDescent="0.2">
      <c r="B1397" s="34">
        <v>1701</v>
      </c>
      <c r="C1397" s="35" t="s">
        <v>723</v>
      </c>
      <c r="D1397" s="36">
        <v>530</v>
      </c>
      <c r="E1397" s="42" t="s">
        <v>588</v>
      </c>
      <c r="F1397" s="37" t="s">
        <v>724</v>
      </c>
      <c r="G1397" s="37" t="s">
        <v>458</v>
      </c>
      <c r="H1397" s="38">
        <v>314001</v>
      </c>
      <c r="I1397" s="41" t="s">
        <v>734</v>
      </c>
      <c r="J1397" s="39">
        <v>92004</v>
      </c>
      <c r="K1397" s="39">
        <v>121621</v>
      </c>
      <c r="L1397" s="39">
        <v>127573</v>
      </c>
      <c r="M1397" s="39">
        <v>75698</v>
      </c>
      <c r="N1397" s="1">
        <v>416896</v>
      </c>
      <c r="O1397" s="39"/>
      <c r="P1397" s="79"/>
      <c r="Q1397" s="59"/>
    </row>
    <row r="1398" spans="2:17" ht="33.75" x14ac:dyDescent="0.2">
      <c r="B1398" s="34">
        <v>1701</v>
      </c>
      <c r="C1398" s="35" t="s">
        <v>723</v>
      </c>
      <c r="D1398" s="36">
        <v>530</v>
      </c>
      <c r="E1398" s="42" t="s">
        <v>588</v>
      </c>
      <c r="F1398" s="37" t="s">
        <v>724</v>
      </c>
      <c r="G1398" s="37" t="s">
        <v>458</v>
      </c>
      <c r="H1398" s="38">
        <v>322001</v>
      </c>
      <c r="I1398" s="41" t="s">
        <v>601</v>
      </c>
      <c r="J1398" s="39">
        <v>374262</v>
      </c>
      <c r="K1398" s="39">
        <v>374262</v>
      </c>
      <c r="L1398" s="39">
        <v>374262</v>
      </c>
      <c r="M1398" s="39">
        <v>374262</v>
      </c>
      <c r="N1398" s="1">
        <v>1497048</v>
      </c>
      <c r="O1398" s="39"/>
      <c r="P1398" s="79"/>
      <c r="Q1398" s="59"/>
    </row>
    <row r="1399" spans="2:17" ht="33.75" x14ac:dyDescent="0.2">
      <c r="B1399" s="34">
        <v>1701</v>
      </c>
      <c r="C1399" s="35" t="s">
        <v>723</v>
      </c>
      <c r="D1399" s="36">
        <v>530</v>
      </c>
      <c r="E1399" s="42" t="s">
        <v>588</v>
      </c>
      <c r="F1399" s="37" t="s">
        <v>724</v>
      </c>
      <c r="G1399" s="37" t="s">
        <v>458</v>
      </c>
      <c r="H1399" s="38">
        <v>323001</v>
      </c>
      <c r="I1399" s="41" t="s">
        <v>594</v>
      </c>
      <c r="J1399" s="39">
        <v>16647</v>
      </c>
      <c r="K1399" s="39">
        <v>16647</v>
      </c>
      <c r="L1399" s="39">
        <v>16647</v>
      </c>
      <c r="M1399" s="39">
        <v>16651</v>
      </c>
      <c r="N1399" s="1">
        <v>66592</v>
      </c>
      <c r="O1399" s="39" t="s">
        <v>5</v>
      </c>
      <c r="P1399" s="79">
        <v>45322</v>
      </c>
      <c r="Q1399" s="59" t="s">
        <v>705</v>
      </c>
    </row>
    <row r="1400" spans="2:17" ht="33.75" x14ac:dyDescent="0.2">
      <c r="B1400" s="34">
        <v>1701</v>
      </c>
      <c r="C1400" s="35" t="s">
        <v>723</v>
      </c>
      <c r="D1400" s="36">
        <v>530</v>
      </c>
      <c r="E1400" s="42" t="s">
        <v>588</v>
      </c>
      <c r="F1400" s="37" t="s">
        <v>724</v>
      </c>
      <c r="G1400" s="37" t="s">
        <v>458</v>
      </c>
      <c r="H1400" s="38">
        <v>351001</v>
      </c>
      <c r="I1400" s="41" t="s">
        <v>611</v>
      </c>
      <c r="J1400" s="39">
        <v>59000</v>
      </c>
      <c r="K1400" s="39">
        <v>64000</v>
      </c>
      <c r="L1400" s="39">
        <v>69000</v>
      </c>
      <c r="M1400" s="39">
        <v>55000</v>
      </c>
      <c r="N1400" s="1">
        <v>247000</v>
      </c>
      <c r="O1400" s="39" t="s">
        <v>6</v>
      </c>
      <c r="P1400" s="79" t="s">
        <v>722</v>
      </c>
      <c r="Q1400" s="59" t="s">
        <v>704</v>
      </c>
    </row>
    <row r="1401" spans="2:17" ht="33.75" x14ac:dyDescent="0.2">
      <c r="B1401" s="34">
        <v>1701</v>
      </c>
      <c r="C1401" s="35" t="s">
        <v>723</v>
      </c>
      <c r="D1401" s="36">
        <v>530</v>
      </c>
      <c r="E1401" s="42" t="s">
        <v>588</v>
      </c>
      <c r="F1401" s="37" t="s">
        <v>724</v>
      </c>
      <c r="G1401" s="37" t="s">
        <v>458</v>
      </c>
      <c r="H1401" s="38">
        <v>355001</v>
      </c>
      <c r="I1401" s="41" t="s">
        <v>596</v>
      </c>
      <c r="J1401" s="39">
        <v>23000</v>
      </c>
      <c r="K1401" s="39">
        <v>19000</v>
      </c>
      <c r="L1401" s="39">
        <v>23033</v>
      </c>
      <c r="M1401" s="39">
        <v>20000</v>
      </c>
      <c r="N1401" s="1">
        <v>85033</v>
      </c>
      <c r="O1401" s="39" t="s">
        <v>15</v>
      </c>
      <c r="P1401" s="79" t="s">
        <v>706</v>
      </c>
      <c r="Q1401" s="59" t="s">
        <v>707</v>
      </c>
    </row>
    <row r="1402" spans="2:17" ht="33.75" x14ac:dyDescent="0.2">
      <c r="B1402" s="34">
        <v>1701</v>
      </c>
      <c r="C1402" s="35" t="s">
        <v>723</v>
      </c>
      <c r="D1402" s="36">
        <v>530</v>
      </c>
      <c r="E1402" s="42" t="s">
        <v>588</v>
      </c>
      <c r="F1402" s="37" t="s">
        <v>724</v>
      </c>
      <c r="G1402" s="37" t="s">
        <v>458</v>
      </c>
      <c r="H1402" s="38">
        <v>371001</v>
      </c>
      <c r="I1402" s="41" t="s">
        <v>607</v>
      </c>
      <c r="J1402" s="39">
        <v>11050</v>
      </c>
      <c r="K1402" s="39">
        <v>0</v>
      </c>
      <c r="L1402" s="39">
        <v>0</v>
      </c>
      <c r="M1402" s="39">
        <v>8965</v>
      </c>
      <c r="N1402" s="1">
        <v>20015</v>
      </c>
      <c r="O1402" s="39" t="s">
        <v>5</v>
      </c>
      <c r="P1402" s="79">
        <v>45322</v>
      </c>
      <c r="Q1402" s="59" t="s">
        <v>705</v>
      </c>
    </row>
    <row r="1403" spans="2:17" ht="33.75" x14ac:dyDescent="0.2">
      <c r="B1403" s="34">
        <v>1701</v>
      </c>
      <c r="C1403" s="35" t="s">
        <v>723</v>
      </c>
      <c r="D1403" s="36">
        <v>530</v>
      </c>
      <c r="E1403" s="42" t="s">
        <v>588</v>
      </c>
      <c r="F1403" s="37" t="s">
        <v>724</v>
      </c>
      <c r="G1403" s="37" t="s">
        <v>458</v>
      </c>
      <c r="H1403" s="38">
        <v>375001</v>
      </c>
      <c r="I1403" s="41" t="s">
        <v>735</v>
      </c>
      <c r="J1403" s="39">
        <v>67888</v>
      </c>
      <c r="K1403" s="39">
        <v>38714</v>
      </c>
      <c r="L1403" s="39">
        <v>37554</v>
      </c>
      <c r="M1403" s="39">
        <v>41474</v>
      </c>
      <c r="N1403" s="1">
        <v>185630</v>
      </c>
      <c r="O1403" s="39"/>
      <c r="P1403" s="79"/>
      <c r="Q1403" s="59"/>
    </row>
    <row r="1404" spans="2:17" ht="22.5" x14ac:dyDescent="0.2">
      <c r="B1404" s="34">
        <v>1701</v>
      </c>
      <c r="C1404" s="35" t="s">
        <v>723</v>
      </c>
      <c r="D1404" s="36">
        <v>530</v>
      </c>
      <c r="E1404" s="42" t="s">
        <v>588</v>
      </c>
      <c r="F1404" s="37" t="s">
        <v>725</v>
      </c>
      <c r="G1404" s="37" t="s">
        <v>461</v>
      </c>
      <c r="H1404" s="38">
        <v>211001</v>
      </c>
      <c r="I1404" s="41" t="s">
        <v>590</v>
      </c>
      <c r="J1404" s="39">
        <v>3700</v>
      </c>
      <c r="K1404" s="39">
        <v>3060</v>
      </c>
      <c r="L1404" s="39">
        <v>3060</v>
      </c>
      <c r="M1404" s="39">
        <v>3400</v>
      </c>
      <c r="N1404" s="1">
        <v>13220</v>
      </c>
      <c r="O1404" s="39" t="s">
        <v>5</v>
      </c>
      <c r="P1404" s="79">
        <v>45322</v>
      </c>
      <c r="Q1404" s="59" t="s">
        <v>702</v>
      </c>
    </row>
    <row r="1405" spans="2:17" ht="22.5" x14ac:dyDescent="0.2">
      <c r="B1405" s="34">
        <v>1701</v>
      </c>
      <c r="C1405" s="35" t="s">
        <v>723</v>
      </c>
      <c r="D1405" s="36">
        <v>530</v>
      </c>
      <c r="E1405" s="42" t="s">
        <v>588</v>
      </c>
      <c r="F1405" s="37" t="s">
        <v>725</v>
      </c>
      <c r="G1405" s="37" t="s">
        <v>461</v>
      </c>
      <c r="H1405" s="38">
        <v>212001</v>
      </c>
      <c r="I1405" s="41" t="s">
        <v>591</v>
      </c>
      <c r="J1405" s="39">
        <v>5750</v>
      </c>
      <c r="K1405" s="39">
        <v>4020</v>
      </c>
      <c r="L1405" s="39">
        <v>4020</v>
      </c>
      <c r="M1405" s="39">
        <v>4020</v>
      </c>
      <c r="N1405" s="1">
        <v>17810</v>
      </c>
      <c r="O1405" s="39" t="s">
        <v>15</v>
      </c>
      <c r="P1405" s="79">
        <v>45322</v>
      </c>
      <c r="Q1405" s="59" t="s">
        <v>707</v>
      </c>
    </row>
    <row r="1406" spans="2:17" ht="22.5" x14ac:dyDescent="0.2">
      <c r="B1406" s="34">
        <v>1701</v>
      </c>
      <c r="C1406" s="35" t="s">
        <v>723</v>
      </c>
      <c r="D1406" s="36">
        <v>530</v>
      </c>
      <c r="E1406" s="42" t="s">
        <v>588</v>
      </c>
      <c r="F1406" s="37" t="s">
        <v>725</v>
      </c>
      <c r="G1406" s="37" t="s">
        <v>461</v>
      </c>
      <c r="H1406" s="38">
        <v>216001</v>
      </c>
      <c r="I1406" s="41" t="s">
        <v>592</v>
      </c>
      <c r="J1406" s="39">
        <v>5512</v>
      </c>
      <c r="K1406" s="39">
        <v>3000</v>
      </c>
      <c r="L1406" s="39">
        <v>3000</v>
      </c>
      <c r="M1406" s="39">
        <v>3000</v>
      </c>
      <c r="N1406" s="1">
        <v>14512</v>
      </c>
      <c r="O1406" s="39" t="s">
        <v>5</v>
      </c>
      <c r="P1406" s="79">
        <v>45322</v>
      </c>
      <c r="Q1406" s="59" t="s">
        <v>702</v>
      </c>
    </row>
    <row r="1407" spans="2:17" ht="22.5" x14ac:dyDescent="0.2">
      <c r="B1407" s="34">
        <v>1701</v>
      </c>
      <c r="C1407" s="35" t="s">
        <v>723</v>
      </c>
      <c r="D1407" s="36">
        <v>530</v>
      </c>
      <c r="E1407" s="42" t="s">
        <v>588</v>
      </c>
      <c r="F1407" s="37" t="s">
        <v>725</v>
      </c>
      <c r="G1407" s="37" t="s">
        <v>461</v>
      </c>
      <c r="H1407" s="38">
        <v>261001</v>
      </c>
      <c r="I1407" s="41" t="s">
        <v>593</v>
      </c>
      <c r="J1407" s="39">
        <v>14977</v>
      </c>
      <c r="K1407" s="39">
        <v>6750</v>
      </c>
      <c r="L1407" s="39">
        <v>6750</v>
      </c>
      <c r="M1407" s="39">
        <v>6750</v>
      </c>
      <c r="N1407" s="1">
        <v>35227</v>
      </c>
      <c r="O1407" s="39" t="s">
        <v>5</v>
      </c>
      <c r="P1407" s="79">
        <v>45322</v>
      </c>
      <c r="Q1407" s="59" t="s">
        <v>702</v>
      </c>
    </row>
    <row r="1408" spans="2:17" ht="22.5" x14ac:dyDescent="0.2">
      <c r="B1408" s="34">
        <v>1701</v>
      </c>
      <c r="C1408" s="35" t="s">
        <v>723</v>
      </c>
      <c r="D1408" s="36">
        <v>530</v>
      </c>
      <c r="E1408" s="42" t="s">
        <v>588</v>
      </c>
      <c r="F1408" s="37" t="s">
        <v>725</v>
      </c>
      <c r="G1408" s="37" t="s">
        <v>458</v>
      </c>
      <c r="H1408" s="38">
        <v>323001</v>
      </c>
      <c r="I1408" s="41" t="s">
        <v>594</v>
      </c>
      <c r="J1408" s="39">
        <v>13920</v>
      </c>
      <c r="K1408" s="39">
        <v>13920</v>
      </c>
      <c r="L1408" s="39">
        <v>13920</v>
      </c>
      <c r="M1408" s="39">
        <v>13920</v>
      </c>
      <c r="N1408" s="1">
        <v>55680</v>
      </c>
      <c r="O1408" s="39" t="s">
        <v>5</v>
      </c>
      <c r="P1408" s="79">
        <v>45322</v>
      </c>
      <c r="Q1408" s="59" t="s">
        <v>705</v>
      </c>
    </row>
    <row r="1409" spans="2:17" ht="27" x14ac:dyDescent="0.2">
      <c r="B1409" s="34">
        <v>1701</v>
      </c>
      <c r="C1409" s="35" t="s">
        <v>723</v>
      </c>
      <c r="D1409" s="36">
        <v>530</v>
      </c>
      <c r="E1409" s="42" t="s">
        <v>588</v>
      </c>
      <c r="F1409" s="37" t="s">
        <v>725</v>
      </c>
      <c r="G1409" s="37" t="s">
        <v>458</v>
      </c>
      <c r="H1409" s="38">
        <v>355001</v>
      </c>
      <c r="I1409" s="41" t="s">
        <v>596</v>
      </c>
      <c r="J1409" s="39">
        <v>7927</v>
      </c>
      <c r="K1409" s="39">
        <v>5331</v>
      </c>
      <c r="L1409" s="39">
        <v>2676</v>
      </c>
      <c r="M1409" s="39">
        <v>1533</v>
      </c>
      <c r="N1409" s="1">
        <v>17467</v>
      </c>
      <c r="O1409" s="39" t="s">
        <v>15</v>
      </c>
      <c r="P1409" s="79" t="s">
        <v>706</v>
      </c>
      <c r="Q1409" s="59" t="s">
        <v>707</v>
      </c>
    </row>
    <row r="1410" spans="2:17" x14ac:dyDescent="0.2">
      <c r="B1410" s="34">
        <v>1701</v>
      </c>
      <c r="C1410" s="35" t="s">
        <v>723</v>
      </c>
      <c r="D1410" s="36">
        <v>530</v>
      </c>
      <c r="E1410" s="42" t="s">
        <v>588</v>
      </c>
      <c r="F1410" s="37" t="s">
        <v>726</v>
      </c>
      <c r="G1410" s="37" t="s">
        <v>461</v>
      </c>
      <c r="H1410" s="38">
        <v>211001</v>
      </c>
      <c r="I1410" s="41" t="s">
        <v>590</v>
      </c>
      <c r="J1410" s="39">
        <v>26052</v>
      </c>
      <c r="K1410" s="39">
        <v>26052</v>
      </c>
      <c r="L1410" s="39">
        <v>26052</v>
      </c>
      <c r="M1410" s="39">
        <v>26056</v>
      </c>
      <c r="N1410" s="1">
        <v>104212</v>
      </c>
      <c r="O1410" s="39" t="s">
        <v>5</v>
      </c>
      <c r="P1410" s="79">
        <v>45322</v>
      </c>
      <c r="Q1410" s="59" t="s">
        <v>702</v>
      </c>
    </row>
    <row r="1411" spans="2:17" ht="22.5" x14ac:dyDescent="0.2">
      <c r="B1411" s="34">
        <v>1701</v>
      </c>
      <c r="C1411" s="35" t="s">
        <v>723</v>
      </c>
      <c r="D1411" s="36">
        <v>530</v>
      </c>
      <c r="E1411" s="42" t="s">
        <v>588</v>
      </c>
      <c r="F1411" s="37" t="s">
        <v>726</v>
      </c>
      <c r="G1411" s="37" t="s">
        <v>461</v>
      </c>
      <c r="H1411" s="38">
        <v>212001</v>
      </c>
      <c r="I1411" s="41" t="s">
        <v>591</v>
      </c>
      <c r="J1411" s="39">
        <v>42393</v>
      </c>
      <c r="K1411" s="39">
        <v>42393</v>
      </c>
      <c r="L1411" s="39">
        <v>42393</v>
      </c>
      <c r="M1411" s="39">
        <v>42400</v>
      </c>
      <c r="N1411" s="1">
        <v>169579</v>
      </c>
      <c r="O1411" s="39" t="s">
        <v>15</v>
      </c>
      <c r="P1411" s="79">
        <v>45322</v>
      </c>
      <c r="Q1411" s="59" t="s">
        <v>707</v>
      </c>
    </row>
    <row r="1412" spans="2:17" x14ac:dyDescent="0.2">
      <c r="B1412" s="34">
        <v>1701</v>
      </c>
      <c r="C1412" s="35" t="s">
        <v>723</v>
      </c>
      <c r="D1412" s="36">
        <v>530</v>
      </c>
      <c r="E1412" s="42" t="s">
        <v>588</v>
      </c>
      <c r="F1412" s="37" t="s">
        <v>726</v>
      </c>
      <c r="G1412" s="37" t="s">
        <v>461</v>
      </c>
      <c r="H1412" s="38">
        <v>216001</v>
      </c>
      <c r="I1412" s="41" t="s">
        <v>592</v>
      </c>
      <c r="J1412" s="39">
        <v>15141</v>
      </c>
      <c r="K1412" s="39">
        <v>15141</v>
      </c>
      <c r="L1412" s="39">
        <v>15141</v>
      </c>
      <c r="M1412" s="39">
        <v>15151</v>
      </c>
      <c r="N1412" s="1">
        <v>60574</v>
      </c>
      <c r="O1412" s="39" t="s">
        <v>5</v>
      </c>
      <c r="P1412" s="79">
        <v>45322</v>
      </c>
      <c r="Q1412" s="59" t="s">
        <v>702</v>
      </c>
    </row>
    <row r="1413" spans="2:17" ht="22.5" x14ac:dyDescent="0.2">
      <c r="B1413" s="34">
        <v>1701</v>
      </c>
      <c r="C1413" s="35" t="s">
        <v>723</v>
      </c>
      <c r="D1413" s="36">
        <v>530</v>
      </c>
      <c r="E1413" s="42" t="s">
        <v>588</v>
      </c>
      <c r="F1413" s="37" t="s">
        <v>726</v>
      </c>
      <c r="G1413" s="37" t="s">
        <v>461</v>
      </c>
      <c r="H1413" s="38">
        <v>221001</v>
      </c>
      <c r="I1413" s="41" t="s">
        <v>642</v>
      </c>
      <c r="J1413" s="39">
        <v>13500</v>
      </c>
      <c r="K1413" s="39">
        <v>13500</v>
      </c>
      <c r="L1413" s="39">
        <v>13500</v>
      </c>
      <c r="M1413" s="39">
        <v>13500</v>
      </c>
      <c r="N1413" s="1">
        <v>54000</v>
      </c>
      <c r="O1413" s="39" t="s">
        <v>6</v>
      </c>
      <c r="P1413" s="79" t="s">
        <v>715</v>
      </c>
      <c r="Q1413" s="59" t="s">
        <v>704</v>
      </c>
    </row>
    <row r="1414" spans="2:17" x14ac:dyDescent="0.2">
      <c r="B1414" s="34">
        <v>1701</v>
      </c>
      <c r="C1414" s="35" t="s">
        <v>723</v>
      </c>
      <c r="D1414" s="36">
        <v>530</v>
      </c>
      <c r="E1414" s="42" t="s">
        <v>588</v>
      </c>
      <c r="F1414" s="37" t="s">
        <v>726</v>
      </c>
      <c r="G1414" s="37" t="s">
        <v>461</v>
      </c>
      <c r="H1414" s="38">
        <v>261001</v>
      </c>
      <c r="I1414" s="41" t="s">
        <v>593</v>
      </c>
      <c r="J1414" s="39">
        <v>87300</v>
      </c>
      <c r="K1414" s="39">
        <v>87300</v>
      </c>
      <c r="L1414" s="39">
        <v>87300</v>
      </c>
      <c r="M1414" s="39">
        <v>87300</v>
      </c>
      <c r="N1414" s="1">
        <v>349200</v>
      </c>
      <c r="O1414" s="39" t="s">
        <v>5</v>
      </c>
      <c r="P1414" s="79">
        <v>45322</v>
      </c>
      <c r="Q1414" s="59" t="s">
        <v>617</v>
      </c>
    </row>
    <row r="1415" spans="2:17" ht="22.5" x14ac:dyDescent="0.2">
      <c r="B1415" s="34">
        <v>1701</v>
      </c>
      <c r="C1415" s="35" t="s">
        <v>723</v>
      </c>
      <c r="D1415" s="36">
        <v>530</v>
      </c>
      <c r="E1415" s="42" t="s">
        <v>588</v>
      </c>
      <c r="F1415" s="37" t="s">
        <v>726</v>
      </c>
      <c r="G1415" s="37" t="s">
        <v>461</v>
      </c>
      <c r="H1415" s="38">
        <v>261002</v>
      </c>
      <c r="I1415" s="41" t="s">
        <v>730</v>
      </c>
      <c r="J1415" s="39">
        <v>2550</v>
      </c>
      <c r="K1415" s="39">
        <v>2125</v>
      </c>
      <c r="L1415" s="39">
        <v>905</v>
      </c>
      <c r="M1415" s="39">
        <v>272</v>
      </c>
      <c r="N1415" s="1">
        <v>5852</v>
      </c>
      <c r="O1415" s="39" t="s">
        <v>6</v>
      </c>
      <c r="P1415" s="79" t="s">
        <v>712</v>
      </c>
      <c r="Q1415" s="59" t="s">
        <v>704</v>
      </c>
    </row>
    <row r="1416" spans="2:17" ht="22.5" x14ac:dyDescent="0.2">
      <c r="B1416" s="69">
        <v>1701</v>
      </c>
      <c r="C1416" s="70" t="s">
        <v>723</v>
      </c>
      <c r="D1416" s="71">
        <v>530</v>
      </c>
      <c r="E1416" s="72" t="s">
        <v>588</v>
      </c>
      <c r="F1416" s="73" t="s">
        <v>726</v>
      </c>
      <c r="G1416" s="73" t="s">
        <v>461</v>
      </c>
      <c r="H1416" s="74">
        <v>296001</v>
      </c>
      <c r="I1416" s="75" t="s">
        <v>731</v>
      </c>
      <c r="J1416" s="39">
        <v>8502</v>
      </c>
      <c r="K1416" s="39">
        <v>8156</v>
      </c>
      <c r="L1416" s="39">
        <v>5100</v>
      </c>
      <c r="M1416" s="39">
        <v>7314</v>
      </c>
      <c r="N1416" s="1">
        <v>29072</v>
      </c>
      <c r="O1416" s="76" t="s">
        <v>6</v>
      </c>
      <c r="P1416" s="84" t="s">
        <v>709</v>
      </c>
      <c r="Q1416" s="85" t="s">
        <v>704</v>
      </c>
    </row>
    <row r="1417" spans="2:17" x14ac:dyDescent="0.2">
      <c r="B1417" s="34">
        <v>1701</v>
      </c>
      <c r="C1417" s="35" t="s">
        <v>723</v>
      </c>
      <c r="D1417" s="36">
        <v>530</v>
      </c>
      <c r="E1417" s="42" t="s">
        <v>588</v>
      </c>
      <c r="F1417" s="37" t="s">
        <v>726</v>
      </c>
      <c r="G1417" s="37" t="s">
        <v>458</v>
      </c>
      <c r="H1417" s="38">
        <v>311001</v>
      </c>
      <c r="I1417" s="41" t="s">
        <v>732</v>
      </c>
      <c r="J1417" s="39">
        <v>9757</v>
      </c>
      <c r="K1417" s="39">
        <v>25392</v>
      </c>
      <c r="L1417" s="39">
        <v>40791</v>
      </c>
      <c r="M1417" s="39">
        <v>44173</v>
      </c>
      <c r="N1417" s="1">
        <v>120113</v>
      </c>
      <c r="O1417" s="39"/>
      <c r="P1417" s="79"/>
      <c r="Q1417" s="59"/>
    </row>
    <row r="1418" spans="2:17" x14ac:dyDescent="0.2">
      <c r="B1418" s="34">
        <v>1701</v>
      </c>
      <c r="C1418" s="35" t="s">
        <v>723</v>
      </c>
      <c r="D1418" s="36">
        <v>530</v>
      </c>
      <c r="E1418" s="42" t="s">
        <v>588</v>
      </c>
      <c r="F1418" s="37" t="s">
        <v>726</v>
      </c>
      <c r="G1418" s="37" t="s">
        <v>458</v>
      </c>
      <c r="H1418" s="38">
        <v>313001</v>
      </c>
      <c r="I1418" s="41" t="s">
        <v>733</v>
      </c>
      <c r="J1418" s="39">
        <v>25569</v>
      </c>
      <c r="K1418" s="39">
        <v>25569</v>
      </c>
      <c r="L1418" s="39">
        <v>25569</v>
      </c>
      <c r="M1418" s="39">
        <v>25569</v>
      </c>
      <c r="N1418" s="1">
        <v>102276</v>
      </c>
      <c r="O1418" s="39"/>
      <c r="P1418" s="79"/>
      <c r="Q1418" s="59"/>
    </row>
    <row r="1419" spans="2:17" x14ac:dyDescent="0.2">
      <c r="B1419" s="34">
        <v>1701</v>
      </c>
      <c r="C1419" s="35" t="s">
        <v>723</v>
      </c>
      <c r="D1419" s="36">
        <v>530</v>
      </c>
      <c r="E1419" s="42" t="s">
        <v>588</v>
      </c>
      <c r="F1419" s="37" t="s">
        <v>726</v>
      </c>
      <c r="G1419" s="37" t="s">
        <v>458</v>
      </c>
      <c r="H1419" s="38">
        <v>314001</v>
      </c>
      <c r="I1419" s="41" t="s">
        <v>734</v>
      </c>
      <c r="J1419" s="39">
        <v>57559</v>
      </c>
      <c r="K1419" s="39">
        <v>56668</v>
      </c>
      <c r="L1419" s="39">
        <v>0</v>
      </c>
      <c r="M1419" s="39">
        <v>21490</v>
      </c>
      <c r="N1419" s="1">
        <v>135717</v>
      </c>
      <c r="O1419" s="39"/>
      <c r="P1419" s="79"/>
      <c r="Q1419" s="59"/>
    </row>
    <row r="1420" spans="2:17" ht="27" x14ac:dyDescent="0.2">
      <c r="B1420" s="34">
        <v>1701</v>
      </c>
      <c r="C1420" s="35" t="s">
        <v>723</v>
      </c>
      <c r="D1420" s="36">
        <v>530</v>
      </c>
      <c r="E1420" s="42" t="s">
        <v>588</v>
      </c>
      <c r="F1420" s="37" t="s">
        <v>726</v>
      </c>
      <c r="G1420" s="37" t="s">
        <v>458</v>
      </c>
      <c r="H1420" s="38">
        <v>355001</v>
      </c>
      <c r="I1420" s="41" t="s">
        <v>596</v>
      </c>
      <c r="J1420" s="39">
        <v>23000</v>
      </c>
      <c r="K1420" s="39">
        <v>22000</v>
      </c>
      <c r="L1420" s="39">
        <v>21000</v>
      </c>
      <c r="M1420" s="39">
        <v>23000</v>
      </c>
      <c r="N1420" s="1">
        <v>89000</v>
      </c>
      <c r="O1420" s="39" t="s">
        <v>15</v>
      </c>
      <c r="P1420" s="79" t="s">
        <v>706</v>
      </c>
      <c r="Q1420" s="59" t="s">
        <v>707</v>
      </c>
    </row>
    <row r="1421" spans="2:17" x14ac:dyDescent="0.2">
      <c r="B1421" s="34">
        <v>1701</v>
      </c>
      <c r="C1421" s="35" t="s">
        <v>723</v>
      </c>
      <c r="D1421" s="36">
        <v>530</v>
      </c>
      <c r="E1421" s="42" t="s">
        <v>588</v>
      </c>
      <c r="F1421" s="37" t="s">
        <v>726</v>
      </c>
      <c r="G1421" s="37" t="s">
        <v>458</v>
      </c>
      <c r="H1421" s="38">
        <v>371001</v>
      </c>
      <c r="I1421" s="41" t="s">
        <v>607</v>
      </c>
      <c r="J1421" s="39">
        <v>12750</v>
      </c>
      <c r="K1421" s="39">
        <v>12750</v>
      </c>
      <c r="L1421" s="39">
        <v>12750</v>
      </c>
      <c r="M1421" s="39">
        <v>12750</v>
      </c>
      <c r="N1421" s="1">
        <v>51000</v>
      </c>
      <c r="O1421" s="39" t="s">
        <v>5</v>
      </c>
      <c r="P1421" s="79">
        <v>45322</v>
      </c>
      <c r="Q1421" s="59" t="s">
        <v>617</v>
      </c>
    </row>
    <row r="1422" spans="2:17" x14ac:dyDescent="0.2">
      <c r="B1422" s="34">
        <v>1701</v>
      </c>
      <c r="C1422" s="35" t="s">
        <v>723</v>
      </c>
      <c r="D1422" s="36">
        <v>530</v>
      </c>
      <c r="E1422" s="42" t="s">
        <v>588</v>
      </c>
      <c r="F1422" s="37" t="s">
        <v>726</v>
      </c>
      <c r="G1422" s="37" t="s">
        <v>458</v>
      </c>
      <c r="H1422" s="38">
        <v>375001</v>
      </c>
      <c r="I1422" s="41" t="s">
        <v>735</v>
      </c>
      <c r="J1422" s="39">
        <v>43959</v>
      </c>
      <c r="K1422" s="39">
        <v>38250</v>
      </c>
      <c r="L1422" s="39">
        <v>38250</v>
      </c>
      <c r="M1422" s="39">
        <v>38250</v>
      </c>
      <c r="N1422" s="1">
        <v>158709</v>
      </c>
      <c r="O1422" s="39"/>
      <c r="P1422" s="79"/>
      <c r="Q1422" s="59"/>
    </row>
    <row r="1423" spans="2:17" ht="33.75" x14ac:dyDescent="0.2">
      <c r="B1423" s="34">
        <v>1701</v>
      </c>
      <c r="C1423" s="35" t="s">
        <v>700</v>
      </c>
      <c r="D1423" s="36">
        <v>530</v>
      </c>
      <c r="E1423" s="42" t="s">
        <v>588</v>
      </c>
      <c r="F1423" s="37" t="s">
        <v>727</v>
      </c>
      <c r="G1423" s="37" t="s">
        <v>461</v>
      </c>
      <c r="H1423" s="38">
        <v>211001</v>
      </c>
      <c r="I1423" s="41" t="s">
        <v>590</v>
      </c>
      <c r="J1423" s="39">
        <v>7650</v>
      </c>
      <c r="K1423" s="39">
        <v>7650</v>
      </c>
      <c r="L1423" s="39">
        <v>7650</v>
      </c>
      <c r="M1423" s="39">
        <v>7650</v>
      </c>
      <c r="N1423" s="1">
        <v>30600</v>
      </c>
      <c r="O1423" s="39" t="s">
        <v>5</v>
      </c>
      <c r="P1423" s="79">
        <v>45322</v>
      </c>
      <c r="Q1423" s="59" t="s">
        <v>702</v>
      </c>
    </row>
    <row r="1424" spans="2:17" ht="33.75" x14ac:dyDescent="0.2">
      <c r="B1424" s="34">
        <v>1701</v>
      </c>
      <c r="C1424" s="35" t="s">
        <v>700</v>
      </c>
      <c r="D1424" s="36">
        <v>530</v>
      </c>
      <c r="E1424" s="42" t="s">
        <v>588</v>
      </c>
      <c r="F1424" s="37" t="s">
        <v>727</v>
      </c>
      <c r="G1424" s="37" t="s">
        <v>461</v>
      </c>
      <c r="H1424" s="38">
        <v>212001</v>
      </c>
      <c r="I1424" s="41" t="s">
        <v>591</v>
      </c>
      <c r="J1424" s="39">
        <v>3825</v>
      </c>
      <c r="K1424" s="39">
        <v>3825</v>
      </c>
      <c r="L1424" s="39">
        <v>3825</v>
      </c>
      <c r="M1424" s="39">
        <v>3825</v>
      </c>
      <c r="N1424" s="1">
        <v>15300</v>
      </c>
      <c r="O1424" s="39" t="s">
        <v>15</v>
      </c>
      <c r="P1424" s="79">
        <v>45322</v>
      </c>
      <c r="Q1424" s="59" t="s">
        <v>707</v>
      </c>
    </row>
    <row r="1425" spans="2:17" ht="33.75" x14ac:dyDescent="0.2">
      <c r="B1425" s="34">
        <v>1701</v>
      </c>
      <c r="C1425" s="35" t="s">
        <v>700</v>
      </c>
      <c r="D1425" s="36">
        <v>530</v>
      </c>
      <c r="E1425" s="42" t="s">
        <v>588</v>
      </c>
      <c r="F1425" s="37" t="s">
        <v>727</v>
      </c>
      <c r="G1425" s="37" t="s">
        <v>461</v>
      </c>
      <c r="H1425" s="38">
        <v>216001</v>
      </c>
      <c r="I1425" s="41" t="s">
        <v>592</v>
      </c>
      <c r="J1425" s="39">
        <v>5100</v>
      </c>
      <c r="K1425" s="39">
        <v>5241</v>
      </c>
      <c r="L1425" s="39">
        <v>5100</v>
      </c>
      <c r="M1425" s="39">
        <v>5100</v>
      </c>
      <c r="N1425" s="1">
        <v>20541</v>
      </c>
      <c r="O1425" s="39" t="s">
        <v>5</v>
      </c>
      <c r="P1425" s="79">
        <v>45322</v>
      </c>
      <c r="Q1425" s="59" t="s">
        <v>702</v>
      </c>
    </row>
    <row r="1426" spans="2:17" ht="33.75" x14ac:dyDescent="0.2">
      <c r="B1426" s="34">
        <v>1701</v>
      </c>
      <c r="C1426" s="35" t="s">
        <v>700</v>
      </c>
      <c r="D1426" s="36">
        <v>530</v>
      </c>
      <c r="E1426" s="42" t="s">
        <v>588</v>
      </c>
      <c r="F1426" s="37" t="s">
        <v>727</v>
      </c>
      <c r="G1426" s="37" t="s">
        <v>461</v>
      </c>
      <c r="H1426" s="38">
        <v>261001</v>
      </c>
      <c r="I1426" s="41" t="s">
        <v>593</v>
      </c>
      <c r="J1426" s="39">
        <v>16200</v>
      </c>
      <c r="K1426" s="39">
        <v>16200</v>
      </c>
      <c r="L1426" s="39">
        <v>16200</v>
      </c>
      <c r="M1426" s="39">
        <v>16200</v>
      </c>
      <c r="N1426" s="1">
        <v>64800</v>
      </c>
      <c r="O1426" s="39" t="s">
        <v>5</v>
      </c>
      <c r="P1426" s="79">
        <v>45322</v>
      </c>
      <c r="Q1426" s="59" t="s">
        <v>702</v>
      </c>
    </row>
    <row r="1427" spans="2:17" ht="33.75" x14ac:dyDescent="0.2">
      <c r="B1427" s="34">
        <v>1701</v>
      </c>
      <c r="C1427" s="35" t="s">
        <v>700</v>
      </c>
      <c r="D1427" s="36">
        <v>530</v>
      </c>
      <c r="E1427" s="42" t="s">
        <v>588</v>
      </c>
      <c r="F1427" s="37" t="s">
        <v>727</v>
      </c>
      <c r="G1427" s="37" t="s">
        <v>461</v>
      </c>
      <c r="H1427" s="38">
        <v>261002</v>
      </c>
      <c r="I1427" s="41" t="s">
        <v>730</v>
      </c>
      <c r="J1427" s="39">
        <v>5100</v>
      </c>
      <c r="K1427" s="39">
        <v>5100</v>
      </c>
      <c r="L1427" s="39">
        <v>5100</v>
      </c>
      <c r="M1427" s="39">
        <v>5100</v>
      </c>
      <c r="N1427" s="1">
        <v>20400</v>
      </c>
      <c r="O1427" s="39" t="s">
        <v>6</v>
      </c>
      <c r="P1427" s="79" t="s">
        <v>712</v>
      </c>
      <c r="Q1427" s="59" t="s">
        <v>704</v>
      </c>
    </row>
    <row r="1428" spans="2:17" ht="33.75" x14ac:dyDescent="0.2">
      <c r="B1428" s="34">
        <v>1701</v>
      </c>
      <c r="C1428" s="35" t="s">
        <v>700</v>
      </c>
      <c r="D1428" s="36">
        <v>530</v>
      </c>
      <c r="E1428" s="42" t="s">
        <v>588</v>
      </c>
      <c r="F1428" s="37" t="s">
        <v>727</v>
      </c>
      <c r="G1428" s="37" t="s">
        <v>461</v>
      </c>
      <c r="H1428" s="38">
        <v>296001</v>
      </c>
      <c r="I1428" s="41" t="s">
        <v>731</v>
      </c>
      <c r="J1428" s="39">
        <v>5100</v>
      </c>
      <c r="K1428" s="39">
        <v>5100</v>
      </c>
      <c r="L1428" s="39">
        <v>5100</v>
      </c>
      <c r="M1428" s="39">
        <v>5100</v>
      </c>
      <c r="N1428" s="1">
        <v>20400</v>
      </c>
      <c r="O1428" s="39" t="s">
        <v>6</v>
      </c>
      <c r="P1428" s="79" t="s">
        <v>709</v>
      </c>
      <c r="Q1428" s="59" t="s">
        <v>704</v>
      </c>
    </row>
    <row r="1429" spans="2:17" ht="33.75" x14ac:dyDescent="0.2">
      <c r="B1429" s="34">
        <v>1701</v>
      </c>
      <c r="C1429" s="35" t="s">
        <v>700</v>
      </c>
      <c r="D1429" s="36">
        <v>530</v>
      </c>
      <c r="E1429" s="42" t="s">
        <v>588</v>
      </c>
      <c r="F1429" s="37" t="s">
        <v>727</v>
      </c>
      <c r="G1429" s="37" t="s">
        <v>458</v>
      </c>
      <c r="H1429" s="38">
        <v>351001</v>
      </c>
      <c r="I1429" s="41" t="s">
        <v>611</v>
      </c>
      <c r="J1429" s="39">
        <v>1700</v>
      </c>
      <c r="K1429" s="39">
        <v>1700</v>
      </c>
      <c r="L1429" s="39">
        <v>0</v>
      </c>
      <c r="M1429" s="39">
        <v>1700</v>
      </c>
      <c r="N1429" s="1">
        <v>5100</v>
      </c>
      <c r="O1429" s="39" t="s">
        <v>6</v>
      </c>
      <c r="P1429" s="79" t="s">
        <v>722</v>
      </c>
      <c r="Q1429" s="59" t="s">
        <v>704</v>
      </c>
    </row>
    <row r="1430" spans="2:17" ht="33.75" x14ac:dyDescent="0.2">
      <c r="B1430" s="34">
        <v>1701</v>
      </c>
      <c r="C1430" s="35" t="s">
        <v>700</v>
      </c>
      <c r="D1430" s="36">
        <v>530</v>
      </c>
      <c r="E1430" s="42" t="s">
        <v>588</v>
      </c>
      <c r="F1430" s="37" t="s">
        <v>727</v>
      </c>
      <c r="G1430" s="37" t="s">
        <v>458</v>
      </c>
      <c r="H1430" s="38">
        <v>352001</v>
      </c>
      <c r="I1430" s="41" t="s">
        <v>595</v>
      </c>
      <c r="J1430" s="39">
        <v>2550</v>
      </c>
      <c r="K1430" s="39">
        <v>2550</v>
      </c>
      <c r="L1430" s="39">
        <v>0</v>
      </c>
      <c r="M1430" s="39">
        <v>2550</v>
      </c>
      <c r="N1430" s="1">
        <v>7650</v>
      </c>
      <c r="O1430" s="39" t="s">
        <v>6</v>
      </c>
      <c r="P1430" s="79" t="s">
        <v>728</v>
      </c>
      <c r="Q1430" s="59" t="s">
        <v>704</v>
      </c>
    </row>
    <row r="1431" spans="2:17" ht="33.75" x14ac:dyDescent="0.2">
      <c r="B1431" s="34">
        <v>1701</v>
      </c>
      <c r="C1431" s="35" t="s">
        <v>700</v>
      </c>
      <c r="D1431" s="36">
        <v>530</v>
      </c>
      <c r="E1431" s="42" t="s">
        <v>588</v>
      </c>
      <c r="F1431" s="37" t="s">
        <v>727</v>
      </c>
      <c r="G1431" s="37" t="s">
        <v>458</v>
      </c>
      <c r="H1431" s="38">
        <v>355001</v>
      </c>
      <c r="I1431" s="41" t="s">
        <v>596</v>
      </c>
      <c r="J1431" s="39">
        <v>7000</v>
      </c>
      <c r="K1431" s="39">
        <v>4500</v>
      </c>
      <c r="L1431" s="39">
        <v>4500</v>
      </c>
      <c r="M1431" s="39">
        <v>4500</v>
      </c>
      <c r="N1431" s="1">
        <v>20500</v>
      </c>
      <c r="O1431" s="39" t="s">
        <v>15</v>
      </c>
      <c r="P1431" s="79" t="s">
        <v>706</v>
      </c>
      <c r="Q1431" s="59" t="s">
        <v>707</v>
      </c>
    </row>
    <row r="1432" spans="2:17" ht="33.75" x14ac:dyDescent="0.2">
      <c r="B1432" s="34">
        <v>1701</v>
      </c>
      <c r="C1432" s="35" t="s">
        <v>700</v>
      </c>
      <c r="D1432" s="36">
        <v>530</v>
      </c>
      <c r="E1432" s="42" t="s">
        <v>588</v>
      </c>
      <c r="F1432" s="37" t="s">
        <v>727</v>
      </c>
      <c r="G1432" s="37" t="s">
        <v>458</v>
      </c>
      <c r="H1432" s="38">
        <v>375001</v>
      </c>
      <c r="I1432" s="41" t="s">
        <v>735</v>
      </c>
      <c r="J1432" s="39">
        <v>21141</v>
      </c>
      <c r="K1432" s="39">
        <v>18916</v>
      </c>
      <c r="L1432" s="39">
        <v>11312</v>
      </c>
      <c r="M1432" s="39">
        <v>15574</v>
      </c>
      <c r="N1432" s="1">
        <v>66943</v>
      </c>
      <c r="O1432" s="39"/>
      <c r="P1432" s="79"/>
      <c r="Q1432" s="59"/>
    </row>
    <row r="1433" spans="2:17" ht="22.5" x14ac:dyDescent="0.2">
      <c r="B1433" s="34">
        <v>1702</v>
      </c>
      <c r="C1433" s="35" t="s">
        <v>700</v>
      </c>
      <c r="D1433" s="36">
        <v>530</v>
      </c>
      <c r="E1433" s="42" t="s">
        <v>588</v>
      </c>
      <c r="F1433" s="37" t="s">
        <v>729</v>
      </c>
      <c r="G1433" s="37" t="s">
        <v>461</v>
      </c>
      <c r="H1433" s="38">
        <v>211001</v>
      </c>
      <c r="I1433" s="41" t="s">
        <v>590</v>
      </c>
      <c r="J1433" s="39">
        <v>3890</v>
      </c>
      <c r="K1433" s="39">
        <v>3189</v>
      </c>
      <c r="L1433" s="39">
        <v>3189</v>
      </c>
      <c r="M1433" s="39">
        <v>3235</v>
      </c>
      <c r="N1433" s="1">
        <v>13503</v>
      </c>
      <c r="O1433" s="39" t="s">
        <v>5</v>
      </c>
      <c r="P1433" s="79">
        <v>45322</v>
      </c>
      <c r="Q1433" s="59" t="s">
        <v>702</v>
      </c>
    </row>
    <row r="1434" spans="2:17" ht="22.5" x14ac:dyDescent="0.2">
      <c r="B1434" s="34">
        <v>1702</v>
      </c>
      <c r="C1434" s="35" t="s">
        <v>700</v>
      </c>
      <c r="D1434" s="36">
        <v>530</v>
      </c>
      <c r="E1434" s="42" t="s">
        <v>588</v>
      </c>
      <c r="F1434" s="37" t="s">
        <v>729</v>
      </c>
      <c r="G1434" s="37" t="s">
        <v>461</v>
      </c>
      <c r="H1434" s="38">
        <v>212001</v>
      </c>
      <c r="I1434" s="41" t="s">
        <v>591</v>
      </c>
      <c r="J1434" s="39">
        <v>5165</v>
      </c>
      <c r="K1434" s="39">
        <v>2380</v>
      </c>
      <c r="L1434" s="39">
        <v>1020</v>
      </c>
      <c r="M1434" s="39">
        <v>2040</v>
      </c>
      <c r="N1434" s="1">
        <v>10605</v>
      </c>
      <c r="O1434" s="39" t="s">
        <v>15</v>
      </c>
      <c r="P1434" s="79">
        <v>45322</v>
      </c>
      <c r="Q1434" s="59" t="s">
        <v>707</v>
      </c>
    </row>
    <row r="1435" spans="2:17" ht="22.5" x14ac:dyDescent="0.2">
      <c r="B1435" s="34">
        <v>1702</v>
      </c>
      <c r="C1435" s="35" t="s">
        <v>700</v>
      </c>
      <c r="D1435" s="36">
        <v>530</v>
      </c>
      <c r="E1435" s="42" t="s">
        <v>588</v>
      </c>
      <c r="F1435" s="37" t="s">
        <v>729</v>
      </c>
      <c r="G1435" s="37" t="s">
        <v>461</v>
      </c>
      <c r="H1435" s="38">
        <v>216001</v>
      </c>
      <c r="I1435" s="41" t="s">
        <v>592</v>
      </c>
      <c r="J1435" s="39">
        <v>4650</v>
      </c>
      <c r="K1435" s="39">
        <v>3000</v>
      </c>
      <c r="L1435" s="39">
        <v>3000</v>
      </c>
      <c r="M1435" s="39">
        <v>3000</v>
      </c>
      <c r="N1435" s="1">
        <v>13650</v>
      </c>
      <c r="O1435" s="39" t="s">
        <v>5</v>
      </c>
      <c r="P1435" s="79">
        <v>45322</v>
      </c>
      <c r="Q1435" s="59" t="s">
        <v>702</v>
      </c>
    </row>
    <row r="1436" spans="2:17" ht="22.5" x14ac:dyDescent="0.2">
      <c r="B1436" s="34">
        <v>1702</v>
      </c>
      <c r="C1436" s="35" t="s">
        <v>700</v>
      </c>
      <c r="D1436" s="36">
        <v>530</v>
      </c>
      <c r="E1436" s="42" t="s">
        <v>588</v>
      </c>
      <c r="F1436" s="37" t="s">
        <v>729</v>
      </c>
      <c r="G1436" s="37" t="s">
        <v>461</v>
      </c>
      <c r="H1436" s="38">
        <v>261001</v>
      </c>
      <c r="I1436" s="41" t="s">
        <v>593</v>
      </c>
      <c r="J1436" s="39">
        <v>12450</v>
      </c>
      <c r="K1436" s="39">
        <v>9450</v>
      </c>
      <c r="L1436" s="39">
        <v>9450</v>
      </c>
      <c r="M1436" s="39">
        <v>9450</v>
      </c>
      <c r="N1436" s="1">
        <v>40800</v>
      </c>
      <c r="O1436" s="39" t="s">
        <v>5</v>
      </c>
      <c r="P1436" s="79">
        <v>45322</v>
      </c>
      <c r="Q1436" s="59" t="s">
        <v>702</v>
      </c>
    </row>
    <row r="1437" spans="2:17" ht="22.5" x14ac:dyDescent="0.2">
      <c r="B1437" s="34">
        <v>1702</v>
      </c>
      <c r="C1437" s="35" t="s">
        <v>700</v>
      </c>
      <c r="D1437" s="36">
        <v>530</v>
      </c>
      <c r="E1437" s="42" t="s">
        <v>588</v>
      </c>
      <c r="F1437" s="37" t="s">
        <v>729</v>
      </c>
      <c r="G1437" s="37" t="s">
        <v>461</v>
      </c>
      <c r="H1437" s="38">
        <v>261002</v>
      </c>
      <c r="I1437" s="41" t="s">
        <v>730</v>
      </c>
      <c r="J1437" s="39">
        <v>3475</v>
      </c>
      <c r="K1437" s="39">
        <v>3000</v>
      </c>
      <c r="L1437" s="39">
        <v>3000</v>
      </c>
      <c r="M1437" s="39">
        <v>2700</v>
      </c>
      <c r="N1437" s="1">
        <v>12175</v>
      </c>
      <c r="O1437" s="39" t="s">
        <v>6</v>
      </c>
      <c r="P1437" s="79" t="s">
        <v>712</v>
      </c>
      <c r="Q1437" s="59" t="s">
        <v>704</v>
      </c>
    </row>
    <row r="1438" spans="2:17" ht="22.5" x14ac:dyDescent="0.2">
      <c r="B1438" s="34">
        <v>1702</v>
      </c>
      <c r="C1438" s="35" t="s">
        <v>700</v>
      </c>
      <c r="D1438" s="36">
        <v>530</v>
      </c>
      <c r="E1438" s="42" t="s">
        <v>588</v>
      </c>
      <c r="F1438" s="37" t="s">
        <v>729</v>
      </c>
      <c r="G1438" s="37" t="s">
        <v>461</v>
      </c>
      <c r="H1438" s="38">
        <v>296001</v>
      </c>
      <c r="I1438" s="41" t="s">
        <v>731</v>
      </c>
      <c r="J1438" s="39">
        <v>2127</v>
      </c>
      <c r="K1438" s="39">
        <v>1277</v>
      </c>
      <c r="L1438" s="39">
        <v>0</v>
      </c>
      <c r="M1438" s="39">
        <v>2214</v>
      </c>
      <c r="N1438" s="1">
        <v>5618</v>
      </c>
      <c r="O1438" s="39" t="s">
        <v>6</v>
      </c>
      <c r="P1438" s="79" t="s">
        <v>709</v>
      </c>
      <c r="Q1438" s="59" t="s">
        <v>704</v>
      </c>
    </row>
    <row r="1439" spans="2:17" ht="22.5" x14ac:dyDescent="0.2">
      <c r="B1439" s="34">
        <v>1702</v>
      </c>
      <c r="C1439" s="35" t="s">
        <v>700</v>
      </c>
      <c r="D1439" s="36">
        <v>530</v>
      </c>
      <c r="E1439" s="42" t="s">
        <v>588</v>
      </c>
      <c r="F1439" s="37" t="s">
        <v>729</v>
      </c>
      <c r="G1439" s="37" t="s">
        <v>458</v>
      </c>
      <c r="H1439" s="38">
        <v>311001</v>
      </c>
      <c r="I1439" s="41" t="s">
        <v>732</v>
      </c>
      <c r="J1439" s="39">
        <v>6206</v>
      </c>
      <c r="K1439" s="39">
        <v>23336</v>
      </c>
      <c r="L1439" s="39">
        <v>51092</v>
      </c>
      <c r="M1439" s="39">
        <v>51545</v>
      </c>
      <c r="N1439" s="1">
        <v>132179</v>
      </c>
      <c r="O1439" s="39"/>
      <c r="P1439" s="79"/>
      <c r="Q1439" s="59"/>
    </row>
    <row r="1440" spans="2:17" ht="22.5" x14ac:dyDescent="0.2">
      <c r="B1440" s="34">
        <v>1702</v>
      </c>
      <c r="C1440" s="35" t="s">
        <v>700</v>
      </c>
      <c r="D1440" s="36">
        <v>530</v>
      </c>
      <c r="E1440" s="42" t="s">
        <v>588</v>
      </c>
      <c r="F1440" s="37" t="s">
        <v>729</v>
      </c>
      <c r="G1440" s="37" t="s">
        <v>458</v>
      </c>
      <c r="H1440" s="38">
        <v>314001</v>
      </c>
      <c r="I1440" s="41" t="s">
        <v>734</v>
      </c>
      <c r="J1440" s="39">
        <v>38573</v>
      </c>
      <c r="K1440" s="39">
        <v>42352</v>
      </c>
      <c r="L1440" s="39">
        <v>18179</v>
      </c>
      <c r="M1440" s="39">
        <v>29636</v>
      </c>
      <c r="N1440" s="1">
        <v>128740</v>
      </c>
      <c r="O1440" s="39"/>
      <c r="P1440" s="79"/>
      <c r="Q1440" s="59"/>
    </row>
    <row r="1441" spans="2:17" ht="22.5" x14ac:dyDescent="0.2">
      <c r="B1441" s="34">
        <v>1702</v>
      </c>
      <c r="C1441" s="35" t="s">
        <v>700</v>
      </c>
      <c r="D1441" s="36">
        <v>530</v>
      </c>
      <c r="E1441" s="42" t="s">
        <v>588</v>
      </c>
      <c r="F1441" s="37" t="s">
        <v>729</v>
      </c>
      <c r="G1441" s="37" t="s">
        <v>458</v>
      </c>
      <c r="H1441" s="38">
        <v>323001</v>
      </c>
      <c r="I1441" s="41" t="s">
        <v>594</v>
      </c>
      <c r="J1441" s="39">
        <v>5568</v>
      </c>
      <c r="K1441" s="39">
        <v>5568</v>
      </c>
      <c r="L1441" s="39">
        <v>5568</v>
      </c>
      <c r="M1441" s="39">
        <v>5568</v>
      </c>
      <c r="N1441" s="1">
        <v>22272</v>
      </c>
      <c r="O1441" s="39" t="s">
        <v>5</v>
      </c>
      <c r="P1441" s="79">
        <v>45322</v>
      </c>
      <c r="Q1441" s="59" t="s">
        <v>705</v>
      </c>
    </row>
    <row r="1442" spans="2:17" ht="27" x14ac:dyDescent="0.2">
      <c r="B1442" s="34">
        <v>1702</v>
      </c>
      <c r="C1442" s="35" t="s">
        <v>700</v>
      </c>
      <c r="D1442" s="36">
        <v>530</v>
      </c>
      <c r="E1442" s="42" t="s">
        <v>588</v>
      </c>
      <c r="F1442" s="37" t="s">
        <v>729</v>
      </c>
      <c r="G1442" s="37" t="s">
        <v>458</v>
      </c>
      <c r="H1442" s="38">
        <v>355001</v>
      </c>
      <c r="I1442" s="41" t="s">
        <v>596</v>
      </c>
      <c r="J1442" s="39">
        <v>41935</v>
      </c>
      <c r="K1442" s="39">
        <v>37635</v>
      </c>
      <c r="L1442" s="39">
        <v>37145</v>
      </c>
      <c r="M1442" s="39">
        <v>34635</v>
      </c>
      <c r="N1442" s="1">
        <v>151350</v>
      </c>
      <c r="O1442" s="39" t="s">
        <v>15</v>
      </c>
      <c r="P1442" s="79" t="s">
        <v>706</v>
      </c>
      <c r="Q1442" s="59" t="s">
        <v>707</v>
      </c>
    </row>
    <row r="1443" spans="2:17" ht="22.5" x14ac:dyDescent="0.2">
      <c r="B1443" s="34">
        <v>1702</v>
      </c>
      <c r="C1443" s="35" t="s">
        <v>700</v>
      </c>
      <c r="D1443" s="36">
        <v>530</v>
      </c>
      <c r="E1443" s="42" t="s">
        <v>588</v>
      </c>
      <c r="F1443" s="37" t="s">
        <v>729</v>
      </c>
      <c r="G1443" s="37" t="s">
        <v>458</v>
      </c>
      <c r="H1443" s="38">
        <v>375001</v>
      </c>
      <c r="I1443" s="41" t="s">
        <v>735</v>
      </c>
      <c r="J1443" s="39">
        <v>17141</v>
      </c>
      <c r="K1443" s="39">
        <v>15141</v>
      </c>
      <c r="L1443" s="39">
        <v>14898</v>
      </c>
      <c r="M1443" s="39">
        <v>16141</v>
      </c>
      <c r="N1443" s="1">
        <v>63321</v>
      </c>
      <c r="O1443" s="39"/>
      <c r="P1443" s="79"/>
      <c r="Q1443" s="59"/>
    </row>
    <row r="1444" spans="2:17" ht="22.5" x14ac:dyDescent="0.2">
      <c r="B1444" s="34">
        <v>1703</v>
      </c>
      <c r="C1444" s="35" t="s">
        <v>700</v>
      </c>
      <c r="D1444" s="36">
        <v>530</v>
      </c>
      <c r="E1444" s="42" t="s">
        <v>588</v>
      </c>
      <c r="F1444" s="37" t="s">
        <v>701</v>
      </c>
      <c r="G1444" s="37" t="s">
        <v>461</v>
      </c>
      <c r="H1444" s="38">
        <v>211001</v>
      </c>
      <c r="I1444" s="41" t="s">
        <v>590</v>
      </c>
      <c r="J1444" s="39">
        <v>12933</v>
      </c>
      <c r="K1444" s="39">
        <v>15144</v>
      </c>
      <c r="L1444" s="39">
        <v>15850</v>
      </c>
      <c r="M1444" s="39">
        <v>15165</v>
      </c>
      <c r="N1444" s="1">
        <v>59092</v>
      </c>
      <c r="O1444" s="39" t="s">
        <v>5</v>
      </c>
      <c r="P1444" s="79">
        <v>45322</v>
      </c>
      <c r="Q1444" s="59" t="s">
        <v>702</v>
      </c>
    </row>
    <row r="1445" spans="2:17" ht="22.5" x14ac:dyDescent="0.2">
      <c r="B1445" s="34">
        <v>1703</v>
      </c>
      <c r="C1445" s="35" t="s">
        <v>700</v>
      </c>
      <c r="D1445" s="36">
        <v>530</v>
      </c>
      <c r="E1445" s="42" t="s">
        <v>588</v>
      </c>
      <c r="F1445" s="37" t="s">
        <v>701</v>
      </c>
      <c r="G1445" s="37" t="s">
        <v>461</v>
      </c>
      <c r="H1445" s="38">
        <v>212001</v>
      </c>
      <c r="I1445" s="41" t="s">
        <v>591</v>
      </c>
      <c r="J1445" s="39">
        <v>5100</v>
      </c>
      <c r="K1445" s="39">
        <v>4250</v>
      </c>
      <c r="L1445" s="39">
        <v>5100</v>
      </c>
      <c r="M1445" s="39">
        <v>3825</v>
      </c>
      <c r="N1445" s="1">
        <v>18275</v>
      </c>
      <c r="O1445" s="39" t="s">
        <v>15</v>
      </c>
      <c r="P1445" s="79">
        <v>45322</v>
      </c>
      <c r="Q1445" s="59" t="s">
        <v>707</v>
      </c>
    </row>
    <row r="1446" spans="2:17" ht="22.5" x14ac:dyDescent="0.2">
      <c r="B1446" s="34">
        <v>1703</v>
      </c>
      <c r="C1446" s="35" t="s">
        <v>700</v>
      </c>
      <c r="D1446" s="36">
        <v>530</v>
      </c>
      <c r="E1446" s="42" t="s">
        <v>588</v>
      </c>
      <c r="F1446" s="37" t="s">
        <v>701</v>
      </c>
      <c r="G1446" s="37" t="s">
        <v>461</v>
      </c>
      <c r="H1446" s="38">
        <v>216001</v>
      </c>
      <c r="I1446" s="41" t="s">
        <v>592</v>
      </c>
      <c r="J1446" s="39">
        <v>11454</v>
      </c>
      <c r="K1446" s="39">
        <v>11165</v>
      </c>
      <c r="L1446" s="39">
        <v>7057</v>
      </c>
      <c r="M1446" s="39">
        <v>7500</v>
      </c>
      <c r="N1446" s="1">
        <v>37176</v>
      </c>
      <c r="O1446" s="39" t="s">
        <v>5</v>
      </c>
      <c r="P1446" s="79">
        <v>45322</v>
      </c>
      <c r="Q1446" s="59" t="s">
        <v>702</v>
      </c>
    </row>
    <row r="1447" spans="2:17" ht="22.5" x14ac:dyDescent="0.2">
      <c r="B1447" s="34">
        <v>1703</v>
      </c>
      <c r="C1447" s="35" t="s">
        <v>700</v>
      </c>
      <c r="D1447" s="36">
        <v>530</v>
      </c>
      <c r="E1447" s="42" t="s">
        <v>588</v>
      </c>
      <c r="F1447" s="37" t="s">
        <v>701</v>
      </c>
      <c r="G1447" s="37" t="s">
        <v>461</v>
      </c>
      <c r="H1447" s="38">
        <v>261001</v>
      </c>
      <c r="I1447" s="41" t="s">
        <v>593</v>
      </c>
      <c r="J1447" s="39">
        <v>48750</v>
      </c>
      <c r="K1447" s="39">
        <v>33750</v>
      </c>
      <c r="L1447" s="39">
        <v>33750</v>
      </c>
      <c r="M1447" s="39">
        <v>33750</v>
      </c>
      <c r="N1447" s="1">
        <v>150000</v>
      </c>
      <c r="O1447" s="39" t="s">
        <v>5</v>
      </c>
      <c r="P1447" s="79">
        <v>45322</v>
      </c>
      <c r="Q1447" s="59" t="s">
        <v>702</v>
      </c>
    </row>
    <row r="1448" spans="2:17" ht="22.5" x14ac:dyDescent="0.2">
      <c r="B1448" s="34">
        <v>1703</v>
      </c>
      <c r="C1448" s="35" t="s">
        <v>700</v>
      </c>
      <c r="D1448" s="36">
        <v>530</v>
      </c>
      <c r="E1448" s="42" t="s">
        <v>588</v>
      </c>
      <c r="F1448" s="37" t="s">
        <v>701</v>
      </c>
      <c r="G1448" s="37" t="s">
        <v>458</v>
      </c>
      <c r="H1448" s="38">
        <v>311001</v>
      </c>
      <c r="I1448" s="41" t="s">
        <v>732</v>
      </c>
      <c r="J1448" s="39">
        <v>34883</v>
      </c>
      <c r="K1448" s="39">
        <v>29200</v>
      </c>
      <c r="L1448" s="39">
        <v>86172</v>
      </c>
      <c r="M1448" s="39">
        <v>55072</v>
      </c>
      <c r="N1448" s="1">
        <v>205327</v>
      </c>
      <c r="O1448" s="39"/>
      <c r="P1448" s="79"/>
      <c r="Q1448" s="59"/>
    </row>
    <row r="1449" spans="2:17" ht="22.5" x14ac:dyDescent="0.2">
      <c r="B1449" s="34">
        <v>1703</v>
      </c>
      <c r="C1449" s="35" t="s">
        <v>700</v>
      </c>
      <c r="D1449" s="36">
        <v>530</v>
      </c>
      <c r="E1449" s="42" t="s">
        <v>588</v>
      </c>
      <c r="F1449" s="37" t="s">
        <v>701</v>
      </c>
      <c r="G1449" s="37" t="s">
        <v>458</v>
      </c>
      <c r="H1449" s="38">
        <v>314001</v>
      </c>
      <c r="I1449" s="41" t="s">
        <v>734</v>
      </c>
      <c r="J1449" s="39">
        <v>37773</v>
      </c>
      <c r="K1449" s="39">
        <v>47855</v>
      </c>
      <c r="L1449" s="39">
        <v>42156</v>
      </c>
      <c r="M1449" s="39">
        <v>34440</v>
      </c>
      <c r="N1449" s="1">
        <v>162224</v>
      </c>
      <c r="O1449" s="39"/>
      <c r="P1449" s="79"/>
      <c r="Q1449" s="59"/>
    </row>
    <row r="1450" spans="2:17" ht="22.5" x14ac:dyDescent="0.2">
      <c r="B1450" s="34">
        <v>1703</v>
      </c>
      <c r="C1450" s="35" t="s">
        <v>700</v>
      </c>
      <c r="D1450" s="36">
        <v>530</v>
      </c>
      <c r="E1450" s="42" t="s">
        <v>588</v>
      </c>
      <c r="F1450" s="37" t="s">
        <v>701</v>
      </c>
      <c r="G1450" s="37" t="s">
        <v>458</v>
      </c>
      <c r="H1450" s="38">
        <v>318001</v>
      </c>
      <c r="I1450" s="41" t="s">
        <v>736</v>
      </c>
      <c r="J1450" s="39">
        <v>13984</v>
      </c>
      <c r="K1450" s="39">
        <v>10816</v>
      </c>
      <c r="L1450" s="39">
        <v>7416</v>
      </c>
      <c r="M1450" s="39">
        <v>13683</v>
      </c>
      <c r="N1450" s="1">
        <v>45899</v>
      </c>
      <c r="O1450" s="39" t="s">
        <v>6</v>
      </c>
      <c r="P1450" s="79" t="s">
        <v>703</v>
      </c>
      <c r="Q1450" s="59" t="s">
        <v>704</v>
      </c>
    </row>
    <row r="1451" spans="2:17" ht="22.5" x14ac:dyDescent="0.2">
      <c r="B1451" s="36">
        <v>1703</v>
      </c>
      <c r="C1451" s="35" t="s">
        <v>700</v>
      </c>
      <c r="D1451" s="36">
        <v>530</v>
      </c>
      <c r="E1451" s="42" t="s">
        <v>588</v>
      </c>
      <c r="F1451" s="37" t="s">
        <v>701</v>
      </c>
      <c r="G1451" s="37" t="s">
        <v>458</v>
      </c>
      <c r="H1451" s="38">
        <v>323001</v>
      </c>
      <c r="I1451" s="41" t="s">
        <v>594</v>
      </c>
      <c r="J1451" s="39">
        <v>28080</v>
      </c>
      <c r="K1451" s="39">
        <v>28080</v>
      </c>
      <c r="L1451" s="39">
        <v>28080</v>
      </c>
      <c r="M1451" s="39">
        <v>28080</v>
      </c>
      <c r="N1451" s="1">
        <v>112320</v>
      </c>
      <c r="O1451" s="39" t="s">
        <v>5</v>
      </c>
      <c r="P1451" s="39">
        <v>45322</v>
      </c>
      <c r="Q1451" s="59" t="s">
        <v>705</v>
      </c>
    </row>
    <row r="1452" spans="2:17" ht="27" x14ac:dyDescent="0.2">
      <c r="B1452" s="36">
        <v>1703</v>
      </c>
      <c r="C1452" s="35" t="s">
        <v>700</v>
      </c>
      <c r="D1452" s="36">
        <v>530</v>
      </c>
      <c r="E1452" s="42" t="s">
        <v>588</v>
      </c>
      <c r="F1452" s="37" t="s">
        <v>701</v>
      </c>
      <c r="G1452" s="37" t="s">
        <v>458</v>
      </c>
      <c r="H1452" s="38">
        <v>355001</v>
      </c>
      <c r="I1452" s="41" t="s">
        <v>596</v>
      </c>
      <c r="J1452" s="39">
        <v>44250</v>
      </c>
      <c r="K1452" s="39">
        <v>37050</v>
      </c>
      <c r="L1452" s="39">
        <v>36550</v>
      </c>
      <c r="M1452" s="39">
        <v>34050</v>
      </c>
      <c r="N1452" s="1">
        <v>151900</v>
      </c>
      <c r="O1452" s="39" t="s">
        <v>15</v>
      </c>
      <c r="P1452" s="39" t="s">
        <v>706</v>
      </c>
      <c r="Q1452" s="59" t="s">
        <v>707</v>
      </c>
    </row>
    <row r="1453" spans="2:17" ht="22.5" x14ac:dyDescent="0.2">
      <c r="B1453" s="36">
        <v>1703</v>
      </c>
      <c r="C1453" s="35" t="s">
        <v>700</v>
      </c>
      <c r="D1453" s="36">
        <v>530</v>
      </c>
      <c r="E1453" s="42" t="s">
        <v>588</v>
      </c>
      <c r="F1453" s="37" t="s">
        <v>701</v>
      </c>
      <c r="G1453" s="37" t="s">
        <v>458</v>
      </c>
      <c r="H1453" s="38">
        <v>371001</v>
      </c>
      <c r="I1453" s="41" t="s">
        <v>607</v>
      </c>
      <c r="J1453" s="39">
        <v>3060</v>
      </c>
      <c r="K1453" s="39">
        <v>0</v>
      </c>
      <c r="L1453" s="39">
        <v>0</v>
      </c>
      <c r="M1453" s="39">
        <v>0</v>
      </c>
      <c r="N1453" s="1">
        <v>3060</v>
      </c>
      <c r="O1453" s="39" t="s">
        <v>5</v>
      </c>
      <c r="P1453" s="39">
        <v>45322</v>
      </c>
      <c r="Q1453" s="59" t="s">
        <v>617</v>
      </c>
    </row>
    <row r="1454" spans="2:17" ht="22.5" x14ac:dyDescent="0.2">
      <c r="B1454" s="36">
        <v>1703</v>
      </c>
      <c r="C1454" s="35" t="s">
        <v>700</v>
      </c>
      <c r="D1454" s="36">
        <v>530</v>
      </c>
      <c r="E1454" s="42" t="s">
        <v>588</v>
      </c>
      <c r="F1454" s="37" t="s">
        <v>701</v>
      </c>
      <c r="G1454" s="37" t="s">
        <v>458</v>
      </c>
      <c r="H1454" s="38">
        <v>375001</v>
      </c>
      <c r="I1454" s="41" t="s">
        <v>735</v>
      </c>
      <c r="J1454" s="39">
        <v>11800</v>
      </c>
      <c r="K1454" s="39">
        <v>12000</v>
      </c>
      <c r="L1454" s="39">
        <v>12000</v>
      </c>
      <c r="M1454" s="39">
        <v>12400</v>
      </c>
      <c r="N1454" s="1">
        <v>48200</v>
      </c>
      <c r="O1454" s="39"/>
      <c r="P1454" s="39"/>
      <c r="Q1454" s="59"/>
    </row>
    <row r="1455" spans="2:17" ht="22.5" x14ac:dyDescent="0.2">
      <c r="B1455" s="36">
        <v>1703</v>
      </c>
      <c r="C1455" s="35" t="s">
        <v>700</v>
      </c>
      <c r="D1455" s="36">
        <v>530</v>
      </c>
      <c r="E1455" s="42" t="s">
        <v>588</v>
      </c>
      <c r="F1455" s="37" t="s">
        <v>708</v>
      </c>
      <c r="G1455" s="37" t="s">
        <v>461</v>
      </c>
      <c r="H1455" s="38">
        <v>211001</v>
      </c>
      <c r="I1455" s="41" t="s">
        <v>590</v>
      </c>
      <c r="J1455" s="39">
        <v>10750</v>
      </c>
      <c r="K1455" s="39">
        <v>10200</v>
      </c>
      <c r="L1455" s="39">
        <v>10200</v>
      </c>
      <c r="M1455" s="39">
        <v>7650</v>
      </c>
      <c r="N1455" s="1">
        <v>38800</v>
      </c>
      <c r="O1455" s="39" t="s">
        <v>5</v>
      </c>
      <c r="P1455" s="39">
        <v>45322</v>
      </c>
      <c r="Q1455" s="59" t="s">
        <v>702</v>
      </c>
    </row>
    <row r="1456" spans="2:17" ht="22.5" x14ac:dyDescent="0.2">
      <c r="B1456" s="36">
        <v>1703</v>
      </c>
      <c r="C1456" s="35" t="s">
        <v>700</v>
      </c>
      <c r="D1456" s="36">
        <v>530</v>
      </c>
      <c r="E1456" s="42" t="s">
        <v>588</v>
      </c>
      <c r="F1456" s="37" t="s">
        <v>708</v>
      </c>
      <c r="G1456" s="37" t="s">
        <v>461</v>
      </c>
      <c r="H1456" s="38">
        <v>212001</v>
      </c>
      <c r="I1456" s="41" t="s">
        <v>591</v>
      </c>
      <c r="J1456" s="39">
        <v>6800</v>
      </c>
      <c r="K1456" s="39">
        <v>4250</v>
      </c>
      <c r="L1456" s="39">
        <v>5100</v>
      </c>
      <c r="M1456" s="39">
        <v>3825</v>
      </c>
      <c r="N1456" s="1">
        <v>19975</v>
      </c>
      <c r="O1456" s="39" t="s">
        <v>15</v>
      </c>
      <c r="P1456" s="39">
        <v>45322</v>
      </c>
      <c r="Q1456" s="59" t="s">
        <v>707</v>
      </c>
    </row>
    <row r="1457" spans="2:17" ht="22.5" x14ac:dyDescent="0.2">
      <c r="B1457" s="36">
        <v>1703</v>
      </c>
      <c r="C1457" s="35" t="s">
        <v>700</v>
      </c>
      <c r="D1457" s="36">
        <v>530</v>
      </c>
      <c r="E1457" s="42" t="s">
        <v>588</v>
      </c>
      <c r="F1457" s="37" t="s">
        <v>708</v>
      </c>
      <c r="G1457" s="37" t="s">
        <v>461</v>
      </c>
      <c r="H1457" s="38">
        <v>216001</v>
      </c>
      <c r="I1457" s="41" t="s">
        <v>592</v>
      </c>
      <c r="J1457" s="39">
        <v>7859</v>
      </c>
      <c r="K1457" s="39">
        <v>5100</v>
      </c>
      <c r="L1457" s="39">
        <v>5100</v>
      </c>
      <c r="M1457" s="39">
        <v>5100</v>
      </c>
      <c r="N1457" s="1">
        <v>23159</v>
      </c>
      <c r="O1457" s="39" t="s">
        <v>5</v>
      </c>
      <c r="P1457" s="39">
        <v>45322</v>
      </c>
      <c r="Q1457" s="59" t="s">
        <v>702</v>
      </c>
    </row>
    <row r="1458" spans="2:17" ht="22.5" x14ac:dyDescent="0.2">
      <c r="B1458" s="36">
        <v>1703</v>
      </c>
      <c r="C1458" s="35" t="s">
        <v>700</v>
      </c>
      <c r="D1458" s="36">
        <v>530</v>
      </c>
      <c r="E1458" s="42" t="s">
        <v>588</v>
      </c>
      <c r="F1458" s="37" t="s">
        <v>708</v>
      </c>
      <c r="G1458" s="37" t="s">
        <v>461</v>
      </c>
      <c r="H1458" s="38">
        <v>261001</v>
      </c>
      <c r="I1458" s="41" t="s">
        <v>593</v>
      </c>
      <c r="J1458" s="39">
        <v>20250</v>
      </c>
      <c r="K1458" s="39">
        <v>20250</v>
      </c>
      <c r="L1458" s="39">
        <v>20250</v>
      </c>
      <c r="M1458" s="39">
        <v>20250</v>
      </c>
      <c r="N1458" s="1">
        <v>81000</v>
      </c>
      <c r="O1458" s="39" t="s">
        <v>5</v>
      </c>
      <c r="P1458" s="39">
        <v>45322</v>
      </c>
      <c r="Q1458" s="59" t="s">
        <v>702</v>
      </c>
    </row>
    <row r="1459" spans="2:17" ht="22.5" x14ac:dyDescent="0.2">
      <c r="B1459" s="36">
        <v>1703</v>
      </c>
      <c r="C1459" s="35" t="s">
        <v>700</v>
      </c>
      <c r="D1459" s="36">
        <v>530</v>
      </c>
      <c r="E1459" s="42" t="s">
        <v>588</v>
      </c>
      <c r="F1459" s="37" t="s">
        <v>708</v>
      </c>
      <c r="G1459" s="37" t="s">
        <v>461</v>
      </c>
      <c r="H1459" s="38">
        <v>296001</v>
      </c>
      <c r="I1459" s="41" t="s">
        <v>731</v>
      </c>
      <c r="J1459" s="39">
        <v>2977</v>
      </c>
      <c r="K1459" s="39">
        <v>1277</v>
      </c>
      <c r="L1459" s="39">
        <v>0</v>
      </c>
      <c r="M1459" s="39">
        <v>2214</v>
      </c>
      <c r="N1459" s="1">
        <v>6468</v>
      </c>
      <c r="O1459" s="39" t="s">
        <v>6</v>
      </c>
      <c r="P1459" s="39" t="s">
        <v>709</v>
      </c>
      <c r="Q1459" s="59" t="s">
        <v>704</v>
      </c>
    </row>
    <row r="1460" spans="2:17" ht="22.5" x14ac:dyDescent="0.2">
      <c r="B1460" s="36">
        <v>1703</v>
      </c>
      <c r="C1460" s="35" t="s">
        <v>700</v>
      </c>
      <c r="D1460" s="36">
        <v>530</v>
      </c>
      <c r="E1460" s="42" t="s">
        <v>588</v>
      </c>
      <c r="F1460" s="37" t="s">
        <v>708</v>
      </c>
      <c r="G1460" s="37" t="s">
        <v>458</v>
      </c>
      <c r="H1460" s="38">
        <v>311001</v>
      </c>
      <c r="I1460" s="41" t="s">
        <v>732</v>
      </c>
      <c r="J1460" s="39">
        <v>18194</v>
      </c>
      <c r="K1460" s="39">
        <v>12211</v>
      </c>
      <c r="L1460" s="39">
        <v>13243</v>
      </c>
      <c r="M1460" s="39">
        <v>24789</v>
      </c>
      <c r="N1460" s="1">
        <v>68437</v>
      </c>
      <c r="O1460" s="39"/>
      <c r="P1460" s="39"/>
      <c r="Q1460" s="59"/>
    </row>
    <row r="1461" spans="2:17" ht="22.5" x14ac:dyDescent="0.2">
      <c r="B1461" s="36">
        <v>1703</v>
      </c>
      <c r="C1461" s="35" t="s">
        <v>700</v>
      </c>
      <c r="D1461" s="36">
        <v>530</v>
      </c>
      <c r="E1461" s="42" t="s">
        <v>588</v>
      </c>
      <c r="F1461" s="37" t="s">
        <v>708</v>
      </c>
      <c r="G1461" s="37" t="s">
        <v>458</v>
      </c>
      <c r="H1461" s="38">
        <v>314001</v>
      </c>
      <c r="I1461" s="41" t="s">
        <v>734</v>
      </c>
      <c r="J1461" s="39">
        <v>16553</v>
      </c>
      <c r="K1461" s="39">
        <v>16553</v>
      </c>
      <c r="L1461" s="39">
        <v>49659</v>
      </c>
      <c r="M1461" s="39">
        <v>33106</v>
      </c>
      <c r="N1461" s="1">
        <v>115871</v>
      </c>
      <c r="O1461" s="39"/>
      <c r="P1461" s="39"/>
      <c r="Q1461" s="59"/>
    </row>
    <row r="1462" spans="2:17" ht="22.5" x14ac:dyDescent="0.2">
      <c r="B1462" s="36">
        <v>1703</v>
      </c>
      <c r="C1462" s="35" t="s">
        <v>700</v>
      </c>
      <c r="D1462" s="36">
        <v>530</v>
      </c>
      <c r="E1462" s="42" t="s">
        <v>588</v>
      </c>
      <c r="F1462" s="37" t="s">
        <v>708</v>
      </c>
      <c r="G1462" s="37" t="s">
        <v>458</v>
      </c>
      <c r="H1462" s="38">
        <v>322001</v>
      </c>
      <c r="I1462" s="41" t="s">
        <v>601</v>
      </c>
      <c r="J1462" s="39">
        <v>474495</v>
      </c>
      <c r="K1462" s="39">
        <v>474495</v>
      </c>
      <c r="L1462" s="39">
        <v>474495</v>
      </c>
      <c r="M1462" s="39">
        <v>474495</v>
      </c>
      <c r="N1462" s="1">
        <v>1897980</v>
      </c>
      <c r="O1462" s="39"/>
      <c r="P1462" s="39"/>
      <c r="Q1462" s="59"/>
    </row>
    <row r="1463" spans="2:17" ht="22.5" x14ac:dyDescent="0.2">
      <c r="B1463" s="36">
        <v>1703</v>
      </c>
      <c r="C1463" s="35" t="s">
        <v>700</v>
      </c>
      <c r="D1463" s="36">
        <v>530</v>
      </c>
      <c r="E1463" s="42" t="s">
        <v>588</v>
      </c>
      <c r="F1463" s="37" t="s">
        <v>708</v>
      </c>
      <c r="G1463" s="37" t="s">
        <v>458</v>
      </c>
      <c r="H1463" s="38">
        <v>323001</v>
      </c>
      <c r="I1463" s="41" t="s">
        <v>594</v>
      </c>
      <c r="J1463" s="39">
        <v>27720</v>
      </c>
      <c r="K1463" s="39">
        <v>27720</v>
      </c>
      <c r="L1463" s="39">
        <v>27720</v>
      </c>
      <c r="M1463" s="39">
        <v>27720</v>
      </c>
      <c r="N1463" s="1">
        <v>110880</v>
      </c>
      <c r="O1463" s="39" t="s">
        <v>5</v>
      </c>
      <c r="P1463" s="39">
        <v>45322</v>
      </c>
      <c r="Q1463" s="59" t="s">
        <v>705</v>
      </c>
    </row>
    <row r="1464" spans="2:17" ht="33.75" x14ac:dyDescent="0.2">
      <c r="B1464" s="36">
        <v>1705326</v>
      </c>
      <c r="C1464" s="35" t="s">
        <v>710</v>
      </c>
      <c r="D1464" s="36">
        <v>530</v>
      </c>
      <c r="E1464" s="42" t="s">
        <v>588</v>
      </c>
      <c r="F1464" s="37" t="s">
        <v>711</v>
      </c>
      <c r="G1464" s="37" t="s">
        <v>461</v>
      </c>
      <c r="H1464" s="38">
        <v>211001</v>
      </c>
      <c r="I1464" s="41" t="s">
        <v>590</v>
      </c>
      <c r="J1464" s="39">
        <v>8728</v>
      </c>
      <c r="K1464" s="39">
        <v>18931</v>
      </c>
      <c r="L1464" s="39">
        <v>6194</v>
      </c>
      <c r="M1464" s="39">
        <v>6197</v>
      </c>
      <c r="N1464" s="1">
        <v>40050</v>
      </c>
      <c r="O1464" s="39" t="s">
        <v>5</v>
      </c>
      <c r="P1464" s="39">
        <v>45322</v>
      </c>
      <c r="Q1464" s="59" t="s">
        <v>702</v>
      </c>
    </row>
    <row r="1465" spans="2:17" ht="33.75" x14ac:dyDescent="0.2">
      <c r="B1465" s="36">
        <v>1705326</v>
      </c>
      <c r="C1465" s="35" t="s">
        <v>710</v>
      </c>
      <c r="D1465" s="36">
        <v>530</v>
      </c>
      <c r="E1465" s="42" t="s">
        <v>588</v>
      </c>
      <c r="F1465" s="37" t="s">
        <v>711</v>
      </c>
      <c r="G1465" s="37" t="s">
        <v>461</v>
      </c>
      <c r="H1465" s="38">
        <v>212001</v>
      </c>
      <c r="I1465" s="41" t="s">
        <v>591</v>
      </c>
      <c r="J1465" s="39">
        <v>6792</v>
      </c>
      <c r="K1465" s="39">
        <v>16720</v>
      </c>
      <c r="L1465" s="39">
        <v>4410</v>
      </c>
      <c r="M1465" s="39">
        <v>4410</v>
      </c>
      <c r="N1465" s="1">
        <v>32332</v>
      </c>
      <c r="O1465" s="39" t="s">
        <v>15</v>
      </c>
      <c r="P1465" s="39">
        <v>45322</v>
      </c>
      <c r="Q1465" s="59" t="s">
        <v>707</v>
      </c>
    </row>
    <row r="1466" spans="2:17" ht="33.75" x14ac:dyDescent="0.2">
      <c r="B1466" s="36">
        <v>1705326</v>
      </c>
      <c r="C1466" s="35" t="s">
        <v>710</v>
      </c>
      <c r="D1466" s="36">
        <v>530</v>
      </c>
      <c r="E1466" s="42" t="s">
        <v>588</v>
      </c>
      <c r="F1466" s="37" t="s">
        <v>711</v>
      </c>
      <c r="G1466" s="37" t="s">
        <v>461</v>
      </c>
      <c r="H1466" s="38">
        <v>216001</v>
      </c>
      <c r="I1466" s="41" t="s">
        <v>592</v>
      </c>
      <c r="J1466" s="39">
        <v>5100</v>
      </c>
      <c r="K1466" s="39">
        <v>5100</v>
      </c>
      <c r="L1466" s="39">
        <v>5100</v>
      </c>
      <c r="M1466" s="39">
        <v>5100</v>
      </c>
      <c r="N1466" s="1">
        <v>20400</v>
      </c>
      <c r="O1466" s="39" t="s">
        <v>5</v>
      </c>
      <c r="P1466" s="39">
        <v>45322</v>
      </c>
      <c r="Q1466" s="59" t="s">
        <v>702</v>
      </c>
    </row>
    <row r="1467" spans="2:17" ht="33.75" x14ac:dyDescent="0.2">
      <c r="B1467" s="36">
        <v>1705326</v>
      </c>
      <c r="C1467" s="35" t="s">
        <v>710</v>
      </c>
      <c r="D1467" s="36">
        <v>530</v>
      </c>
      <c r="E1467" s="42" t="s">
        <v>588</v>
      </c>
      <c r="F1467" s="37" t="s">
        <v>711</v>
      </c>
      <c r="G1467" s="37" t="s">
        <v>461</v>
      </c>
      <c r="H1467" s="38">
        <v>261001</v>
      </c>
      <c r="I1467" s="41" t="s">
        <v>593</v>
      </c>
      <c r="J1467" s="39">
        <v>57350</v>
      </c>
      <c r="K1467" s="39">
        <v>59400</v>
      </c>
      <c r="L1467" s="39">
        <v>56700</v>
      </c>
      <c r="M1467" s="39">
        <v>58500</v>
      </c>
      <c r="N1467" s="1">
        <v>231950</v>
      </c>
      <c r="O1467" s="39" t="s">
        <v>5</v>
      </c>
      <c r="P1467" s="39">
        <v>45322</v>
      </c>
      <c r="Q1467" s="59" t="s">
        <v>702</v>
      </c>
    </row>
    <row r="1468" spans="2:17" ht="33.75" x14ac:dyDescent="0.2">
      <c r="B1468" s="36">
        <v>1705326</v>
      </c>
      <c r="C1468" s="35" t="s">
        <v>710</v>
      </c>
      <c r="D1468" s="36">
        <v>530</v>
      </c>
      <c r="E1468" s="42" t="s">
        <v>588</v>
      </c>
      <c r="F1468" s="37" t="s">
        <v>711</v>
      </c>
      <c r="G1468" s="37" t="s">
        <v>461</v>
      </c>
      <c r="H1468" s="38">
        <v>261002</v>
      </c>
      <c r="I1468" s="41" t="s">
        <v>730</v>
      </c>
      <c r="J1468" s="39">
        <v>1600</v>
      </c>
      <c r="K1468" s="39">
        <v>5677</v>
      </c>
      <c r="L1468" s="39">
        <v>1801</v>
      </c>
      <c r="M1468" s="39">
        <v>1800</v>
      </c>
      <c r="N1468" s="1">
        <v>10878</v>
      </c>
      <c r="O1468" s="39" t="s">
        <v>6</v>
      </c>
      <c r="P1468" s="39" t="s">
        <v>712</v>
      </c>
      <c r="Q1468" s="59" t="s">
        <v>704</v>
      </c>
    </row>
    <row r="1469" spans="2:17" ht="33.75" x14ac:dyDescent="0.2">
      <c r="B1469" s="36">
        <v>1705326</v>
      </c>
      <c r="C1469" s="35" t="s">
        <v>710</v>
      </c>
      <c r="D1469" s="36">
        <v>530</v>
      </c>
      <c r="E1469" s="42" t="s">
        <v>588</v>
      </c>
      <c r="F1469" s="37" t="s">
        <v>711</v>
      </c>
      <c r="G1469" s="37" t="s">
        <v>461</v>
      </c>
      <c r="H1469" s="38">
        <v>296001</v>
      </c>
      <c r="I1469" s="41" t="s">
        <v>731</v>
      </c>
      <c r="J1469" s="39">
        <v>3780</v>
      </c>
      <c r="K1469" s="39">
        <v>5670</v>
      </c>
      <c r="L1469" s="39">
        <v>5673</v>
      </c>
      <c r="M1469" s="39">
        <v>5670</v>
      </c>
      <c r="N1469" s="1">
        <v>20793</v>
      </c>
      <c r="O1469" s="39" t="s">
        <v>6</v>
      </c>
      <c r="P1469" s="39" t="s">
        <v>709</v>
      </c>
      <c r="Q1469" s="59" t="s">
        <v>704</v>
      </c>
    </row>
    <row r="1470" spans="2:17" ht="33.75" x14ac:dyDescent="0.2">
      <c r="B1470" s="36">
        <v>1705326</v>
      </c>
      <c r="C1470" s="35" t="s">
        <v>710</v>
      </c>
      <c r="D1470" s="36">
        <v>530</v>
      </c>
      <c r="E1470" s="42" t="s">
        <v>588</v>
      </c>
      <c r="F1470" s="37" t="s">
        <v>711</v>
      </c>
      <c r="G1470" s="37" t="s">
        <v>458</v>
      </c>
      <c r="H1470" s="38">
        <v>311001</v>
      </c>
      <c r="I1470" s="41" t="s">
        <v>732</v>
      </c>
      <c r="J1470" s="39">
        <v>1938</v>
      </c>
      <c r="K1470" s="39">
        <v>3872</v>
      </c>
      <c r="L1470" s="39">
        <v>1942</v>
      </c>
      <c r="M1470" s="39">
        <v>3872</v>
      </c>
      <c r="N1470" s="1">
        <v>11624</v>
      </c>
      <c r="O1470" s="39"/>
      <c r="P1470" s="39"/>
      <c r="Q1470" s="59"/>
    </row>
    <row r="1471" spans="2:17" ht="33.75" x14ac:dyDescent="0.2">
      <c r="B1471" s="36">
        <v>1705326</v>
      </c>
      <c r="C1471" s="35" t="s">
        <v>710</v>
      </c>
      <c r="D1471" s="36">
        <v>530</v>
      </c>
      <c r="E1471" s="42" t="s">
        <v>588</v>
      </c>
      <c r="F1471" s="37" t="s">
        <v>711</v>
      </c>
      <c r="G1471" s="37" t="s">
        <v>458</v>
      </c>
      <c r="H1471" s="38">
        <v>314001</v>
      </c>
      <c r="I1471" s="41" t="s">
        <v>734</v>
      </c>
      <c r="J1471" s="39">
        <v>1900</v>
      </c>
      <c r="K1471" s="39">
        <v>1893</v>
      </c>
      <c r="L1471" s="39">
        <v>1900</v>
      </c>
      <c r="M1471" s="39">
        <v>1893</v>
      </c>
      <c r="N1471" s="1">
        <v>7586</v>
      </c>
      <c r="O1471" s="39"/>
      <c r="P1471" s="39"/>
      <c r="Q1471" s="59"/>
    </row>
    <row r="1472" spans="2:17" ht="33.75" x14ac:dyDescent="0.2">
      <c r="B1472" s="36">
        <v>1705326</v>
      </c>
      <c r="C1472" s="35" t="s">
        <v>710</v>
      </c>
      <c r="D1472" s="36">
        <v>530</v>
      </c>
      <c r="E1472" s="42" t="s">
        <v>588</v>
      </c>
      <c r="F1472" s="37" t="s">
        <v>711</v>
      </c>
      <c r="G1472" s="37" t="s">
        <v>458</v>
      </c>
      <c r="H1472" s="38">
        <v>323001</v>
      </c>
      <c r="I1472" s="41" t="s">
        <v>594</v>
      </c>
      <c r="J1472" s="39">
        <v>1500</v>
      </c>
      <c r="K1472" s="39">
        <v>1500</v>
      </c>
      <c r="L1472" s="39">
        <v>1500</v>
      </c>
      <c r="M1472" s="39">
        <v>1500</v>
      </c>
      <c r="N1472" s="1">
        <v>6000</v>
      </c>
      <c r="O1472" s="39" t="s">
        <v>5</v>
      </c>
      <c r="P1472" s="39">
        <v>45322</v>
      </c>
      <c r="Q1472" s="59" t="s">
        <v>705</v>
      </c>
    </row>
    <row r="1473" spans="2:17" ht="33.75" x14ac:dyDescent="0.2">
      <c r="B1473" s="36">
        <v>1705326</v>
      </c>
      <c r="C1473" s="35" t="s">
        <v>710</v>
      </c>
      <c r="D1473" s="36">
        <v>530</v>
      </c>
      <c r="E1473" s="42" t="s">
        <v>588</v>
      </c>
      <c r="F1473" s="37" t="s">
        <v>711</v>
      </c>
      <c r="G1473" s="37" t="s">
        <v>458</v>
      </c>
      <c r="H1473" s="38">
        <v>345001</v>
      </c>
      <c r="I1473" s="41" t="s">
        <v>645</v>
      </c>
      <c r="J1473" s="76">
        <v>170000</v>
      </c>
      <c r="K1473" s="76">
        <v>0</v>
      </c>
      <c r="L1473" s="76">
        <v>0</v>
      </c>
      <c r="M1473" s="76">
        <v>0</v>
      </c>
      <c r="N1473" s="77">
        <v>170000</v>
      </c>
      <c r="O1473" s="39" t="s">
        <v>5</v>
      </c>
      <c r="P1473" s="39">
        <v>45322</v>
      </c>
      <c r="Q1473" s="59" t="s">
        <v>713</v>
      </c>
    </row>
    <row r="1474" spans="2:17" ht="33.75" x14ac:dyDescent="0.2">
      <c r="B1474" s="36">
        <v>1705326</v>
      </c>
      <c r="C1474" s="35" t="s">
        <v>710</v>
      </c>
      <c r="D1474" s="36">
        <v>530</v>
      </c>
      <c r="E1474" s="42" t="s">
        <v>588</v>
      </c>
      <c r="F1474" s="37" t="s">
        <v>711</v>
      </c>
      <c r="G1474" s="37" t="s">
        <v>458</v>
      </c>
      <c r="H1474" s="38">
        <v>355001</v>
      </c>
      <c r="I1474" s="41" t="s">
        <v>596</v>
      </c>
      <c r="J1474" s="39">
        <v>11307</v>
      </c>
      <c r="K1474" s="39">
        <v>11307</v>
      </c>
      <c r="L1474" s="39">
        <v>11307</v>
      </c>
      <c r="M1474" s="39">
        <v>11307</v>
      </c>
      <c r="N1474" s="1">
        <v>45228</v>
      </c>
      <c r="O1474" s="39" t="s">
        <v>15</v>
      </c>
      <c r="P1474" s="39" t="s">
        <v>706</v>
      </c>
      <c r="Q1474" s="59" t="s">
        <v>707</v>
      </c>
    </row>
    <row r="1475" spans="2:17" ht="33.75" x14ac:dyDescent="0.2">
      <c r="B1475" s="36">
        <v>1705326</v>
      </c>
      <c r="C1475" s="35" t="s">
        <v>710</v>
      </c>
      <c r="D1475" s="36">
        <v>530</v>
      </c>
      <c r="E1475" s="42" t="s">
        <v>588</v>
      </c>
      <c r="F1475" s="37" t="s">
        <v>711</v>
      </c>
      <c r="G1475" s="37" t="s">
        <v>458</v>
      </c>
      <c r="H1475" s="38">
        <v>361002</v>
      </c>
      <c r="I1475" s="41" t="s">
        <v>737</v>
      </c>
      <c r="J1475" s="39">
        <v>2044</v>
      </c>
      <c r="K1475" s="39">
        <v>2043</v>
      </c>
      <c r="L1475" s="39">
        <v>2043</v>
      </c>
      <c r="M1475" s="39">
        <v>2043</v>
      </c>
      <c r="N1475" s="1">
        <v>8173</v>
      </c>
      <c r="O1475" s="39" t="s">
        <v>6</v>
      </c>
      <c r="P1475" s="39">
        <v>45453</v>
      </c>
      <c r="Q1475" s="59" t="s">
        <v>704</v>
      </c>
    </row>
    <row r="1476" spans="2:17" ht="33.75" x14ac:dyDescent="0.2">
      <c r="B1476" s="36">
        <v>1705326</v>
      </c>
      <c r="C1476" s="35" t="s">
        <v>710</v>
      </c>
      <c r="D1476" s="36">
        <v>530</v>
      </c>
      <c r="E1476" s="42" t="s">
        <v>588</v>
      </c>
      <c r="F1476" s="37" t="s">
        <v>711</v>
      </c>
      <c r="G1476" s="37" t="s">
        <v>458</v>
      </c>
      <c r="H1476" s="38">
        <v>371001</v>
      </c>
      <c r="I1476" s="41" t="s">
        <v>607</v>
      </c>
      <c r="J1476" s="39">
        <v>4611</v>
      </c>
      <c r="K1476" s="39">
        <v>13500</v>
      </c>
      <c r="L1476" s="39">
        <v>6692</v>
      </c>
      <c r="M1476" s="39">
        <v>6806</v>
      </c>
      <c r="N1476" s="1">
        <v>31609</v>
      </c>
      <c r="O1476" s="39" t="s">
        <v>5</v>
      </c>
      <c r="P1476" s="39">
        <v>45322</v>
      </c>
      <c r="Q1476" s="59" t="s">
        <v>617</v>
      </c>
    </row>
    <row r="1477" spans="2:17" ht="33.75" x14ac:dyDescent="0.2">
      <c r="B1477" s="36">
        <v>1705326</v>
      </c>
      <c r="C1477" s="35" t="s">
        <v>710</v>
      </c>
      <c r="D1477" s="36">
        <v>530</v>
      </c>
      <c r="E1477" s="42" t="s">
        <v>588</v>
      </c>
      <c r="F1477" s="37" t="s">
        <v>711</v>
      </c>
      <c r="G1477" s="37" t="s">
        <v>458</v>
      </c>
      <c r="H1477" s="38">
        <v>375001</v>
      </c>
      <c r="I1477" s="41" t="s">
        <v>735</v>
      </c>
      <c r="J1477" s="39">
        <v>31872</v>
      </c>
      <c r="K1477" s="39">
        <v>35272</v>
      </c>
      <c r="L1477" s="39">
        <v>35566</v>
      </c>
      <c r="M1477" s="39">
        <v>24789</v>
      </c>
      <c r="N1477" s="1">
        <v>127499</v>
      </c>
      <c r="O1477" s="39"/>
      <c r="P1477" s="39"/>
      <c r="Q1477" s="59"/>
    </row>
    <row r="1478" spans="2:17" ht="33.75" x14ac:dyDescent="0.2">
      <c r="B1478" s="36">
        <v>1705327</v>
      </c>
      <c r="C1478" s="35" t="s">
        <v>710</v>
      </c>
      <c r="D1478" s="36">
        <v>530</v>
      </c>
      <c r="E1478" s="42" t="s">
        <v>588</v>
      </c>
      <c r="F1478" s="37" t="s">
        <v>714</v>
      </c>
      <c r="G1478" s="37" t="s">
        <v>461</v>
      </c>
      <c r="H1478" s="38">
        <v>211001</v>
      </c>
      <c r="I1478" s="41" t="s">
        <v>590</v>
      </c>
      <c r="J1478" s="39">
        <v>3600</v>
      </c>
      <c r="K1478" s="39">
        <v>3600</v>
      </c>
      <c r="L1478" s="39">
        <v>3600</v>
      </c>
      <c r="M1478" s="39">
        <v>3600</v>
      </c>
      <c r="N1478" s="1">
        <v>14400</v>
      </c>
      <c r="O1478" s="39" t="s">
        <v>5</v>
      </c>
      <c r="P1478" s="39">
        <v>45322</v>
      </c>
      <c r="Q1478" s="59" t="s">
        <v>702</v>
      </c>
    </row>
    <row r="1479" spans="2:17" ht="33.75" x14ac:dyDescent="0.2">
      <c r="B1479" s="36">
        <v>1705327</v>
      </c>
      <c r="C1479" s="35" t="s">
        <v>710</v>
      </c>
      <c r="D1479" s="36">
        <v>530</v>
      </c>
      <c r="E1479" s="42" t="s">
        <v>588</v>
      </c>
      <c r="F1479" s="37" t="s">
        <v>714</v>
      </c>
      <c r="G1479" s="37" t="s">
        <v>461</v>
      </c>
      <c r="H1479" s="38">
        <v>212001</v>
      </c>
      <c r="I1479" s="41" t="s">
        <v>591</v>
      </c>
      <c r="J1479" s="39">
        <v>2550</v>
      </c>
      <c r="K1479" s="39">
        <v>2550</v>
      </c>
      <c r="L1479" s="39">
        <v>2550</v>
      </c>
      <c r="M1479" s="39">
        <v>1700</v>
      </c>
      <c r="N1479" s="1">
        <v>9350</v>
      </c>
      <c r="O1479" s="39" t="s">
        <v>15</v>
      </c>
      <c r="P1479" s="39">
        <v>45322</v>
      </c>
      <c r="Q1479" s="59" t="s">
        <v>707</v>
      </c>
    </row>
    <row r="1480" spans="2:17" ht="33.75" x14ac:dyDescent="0.2">
      <c r="B1480" s="36">
        <v>1705327</v>
      </c>
      <c r="C1480" s="35" t="s">
        <v>710</v>
      </c>
      <c r="D1480" s="36">
        <v>530</v>
      </c>
      <c r="E1480" s="42" t="s">
        <v>588</v>
      </c>
      <c r="F1480" s="37" t="s">
        <v>714</v>
      </c>
      <c r="G1480" s="37" t="s">
        <v>461</v>
      </c>
      <c r="H1480" s="38">
        <v>216001</v>
      </c>
      <c r="I1480" s="41" t="s">
        <v>592</v>
      </c>
      <c r="J1480" s="39">
        <v>3000</v>
      </c>
      <c r="K1480" s="39">
        <v>3000</v>
      </c>
      <c r="L1480" s="39">
        <v>3000</v>
      </c>
      <c r="M1480" s="39">
        <v>3000</v>
      </c>
      <c r="N1480" s="1">
        <v>12000</v>
      </c>
      <c r="O1480" s="39" t="s">
        <v>5</v>
      </c>
      <c r="P1480" s="39">
        <v>45322</v>
      </c>
      <c r="Q1480" s="59" t="s">
        <v>702</v>
      </c>
    </row>
    <row r="1481" spans="2:17" ht="33.75" x14ac:dyDescent="0.2">
      <c r="B1481" s="36">
        <v>1705327</v>
      </c>
      <c r="C1481" s="35" t="s">
        <v>710</v>
      </c>
      <c r="D1481" s="36">
        <v>530</v>
      </c>
      <c r="E1481" s="42" t="s">
        <v>588</v>
      </c>
      <c r="F1481" s="37" t="s">
        <v>714</v>
      </c>
      <c r="G1481" s="37" t="s">
        <v>461</v>
      </c>
      <c r="H1481" s="38">
        <v>221001</v>
      </c>
      <c r="I1481" s="41" t="s">
        <v>642</v>
      </c>
      <c r="J1481" s="39">
        <v>1500</v>
      </c>
      <c r="K1481" s="39">
        <v>1500</v>
      </c>
      <c r="L1481" s="39">
        <v>1438</v>
      </c>
      <c r="M1481" s="39">
        <v>1404</v>
      </c>
      <c r="N1481" s="1">
        <v>5842</v>
      </c>
      <c r="O1481" s="39" t="s">
        <v>6</v>
      </c>
      <c r="P1481" s="39" t="s">
        <v>715</v>
      </c>
      <c r="Q1481" s="59" t="s">
        <v>704</v>
      </c>
    </row>
    <row r="1482" spans="2:17" ht="33.75" x14ac:dyDescent="0.2">
      <c r="B1482" s="36">
        <v>1705327</v>
      </c>
      <c r="C1482" s="35" t="s">
        <v>710</v>
      </c>
      <c r="D1482" s="36">
        <v>530</v>
      </c>
      <c r="E1482" s="42" t="s">
        <v>588</v>
      </c>
      <c r="F1482" s="37" t="s">
        <v>714</v>
      </c>
      <c r="G1482" s="37" t="s">
        <v>461</v>
      </c>
      <c r="H1482" s="38">
        <v>261001</v>
      </c>
      <c r="I1482" s="41" t="s">
        <v>593</v>
      </c>
      <c r="J1482" s="39">
        <v>40500</v>
      </c>
      <c r="K1482" s="39">
        <v>40500</v>
      </c>
      <c r="L1482" s="39">
        <v>40500</v>
      </c>
      <c r="M1482" s="39">
        <v>40500</v>
      </c>
      <c r="N1482" s="1">
        <v>162000</v>
      </c>
      <c r="O1482" s="39" t="s">
        <v>5</v>
      </c>
      <c r="P1482" s="39">
        <v>45322</v>
      </c>
      <c r="Q1482" s="59" t="s">
        <v>702</v>
      </c>
    </row>
    <row r="1483" spans="2:17" ht="33.75" x14ac:dyDescent="0.2">
      <c r="B1483" s="36">
        <v>1705327</v>
      </c>
      <c r="C1483" s="35" t="s">
        <v>710</v>
      </c>
      <c r="D1483" s="36">
        <v>530</v>
      </c>
      <c r="E1483" s="42" t="s">
        <v>588</v>
      </c>
      <c r="F1483" s="37" t="s">
        <v>714</v>
      </c>
      <c r="G1483" s="37" t="s">
        <v>461</v>
      </c>
      <c r="H1483" s="38">
        <v>296001</v>
      </c>
      <c r="I1483" s="41" t="s">
        <v>731</v>
      </c>
      <c r="J1483" s="39">
        <v>3150</v>
      </c>
      <c r="K1483" s="39">
        <v>3150</v>
      </c>
      <c r="L1483" s="39">
        <v>1100</v>
      </c>
      <c r="M1483" s="39">
        <v>1098</v>
      </c>
      <c r="N1483" s="1">
        <v>8498</v>
      </c>
      <c r="O1483" s="39" t="s">
        <v>6</v>
      </c>
      <c r="P1483" s="39" t="s">
        <v>709</v>
      </c>
      <c r="Q1483" s="59" t="s">
        <v>704</v>
      </c>
    </row>
    <row r="1484" spans="2:17" ht="33.75" x14ac:dyDescent="0.2">
      <c r="B1484" s="36">
        <v>1705327</v>
      </c>
      <c r="C1484" s="35" t="s">
        <v>710</v>
      </c>
      <c r="D1484" s="36">
        <v>530</v>
      </c>
      <c r="E1484" s="42" t="s">
        <v>588</v>
      </c>
      <c r="F1484" s="37" t="s">
        <v>714</v>
      </c>
      <c r="G1484" s="37" t="s">
        <v>458</v>
      </c>
      <c r="H1484" s="38">
        <v>311001</v>
      </c>
      <c r="I1484" s="41" t="s">
        <v>732</v>
      </c>
      <c r="J1484" s="39">
        <v>712</v>
      </c>
      <c r="K1484" s="39">
        <v>1424</v>
      </c>
      <c r="L1484" s="39">
        <v>712</v>
      </c>
      <c r="M1484" s="39">
        <v>1424</v>
      </c>
      <c r="N1484" s="1">
        <v>4272</v>
      </c>
      <c r="O1484" s="39"/>
      <c r="P1484" s="39"/>
      <c r="Q1484" s="59"/>
    </row>
    <row r="1485" spans="2:17" ht="33.75" x14ac:dyDescent="0.2">
      <c r="B1485" s="36">
        <v>1705327</v>
      </c>
      <c r="C1485" s="35" t="s">
        <v>710</v>
      </c>
      <c r="D1485" s="36">
        <v>530</v>
      </c>
      <c r="E1485" s="42" t="s">
        <v>588</v>
      </c>
      <c r="F1485" s="37" t="s">
        <v>714</v>
      </c>
      <c r="G1485" s="37" t="s">
        <v>458</v>
      </c>
      <c r="H1485" s="38">
        <v>314001</v>
      </c>
      <c r="I1485" s="41" t="s">
        <v>734</v>
      </c>
      <c r="J1485" s="39">
        <v>1781</v>
      </c>
      <c r="K1485" s="39">
        <v>1779</v>
      </c>
      <c r="L1485" s="39">
        <v>1792</v>
      </c>
      <c r="M1485" s="39">
        <v>1779</v>
      </c>
      <c r="N1485" s="1">
        <v>7131</v>
      </c>
      <c r="O1485" s="39"/>
      <c r="P1485" s="39"/>
      <c r="Q1485" s="59"/>
    </row>
    <row r="1486" spans="2:17" ht="33.75" x14ac:dyDescent="0.2">
      <c r="B1486" s="36">
        <v>1705327</v>
      </c>
      <c r="C1486" s="35" t="s">
        <v>710</v>
      </c>
      <c r="D1486" s="36">
        <v>530</v>
      </c>
      <c r="E1486" s="42" t="s">
        <v>588</v>
      </c>
      <c r="F1486" s="37" t="s">
        <v>714</v>
      </c>
      <c r="G1486" s="37" t="s">
        <v>458</v>
      </c>
      <c r="H1486" s="38">
        <v>323001</v>
      </c>
      <c r="I1486" s="41" t="s">
        <v>594</v>
      </c>
      <c r="J1486" s="39">
        <v>4200</v>
      </c>
      <c r="K1486" s="39">
        <v>4200</v>
      </c>
      <c r="L1486" s="39">
        <v>4200</v>
      </c>
      <c r="M1486" s="39">
        <v>4200</v>
      </c>
      <c r="N1486" s="1">
        <v>16800</v>
      </c>
      <c r="O1486" s="39" t="s">
        <v>5</v>
      </c>
      <c r="P1486" s="39">
        <v>45322</v>
      </c>
      <c r="Q1486" s="59" t="s">
        <v>705</v>
      </c>
    </row>
    <row r="1487" spans="2:17" ht="33.75" x14ac:dyDescent="0.2">
      <c r="B1487" s="36">
        <v>1705327</v>
      </c>
      <c r="C1487" s="35" t="s">
        <v>710</v>
      </c>
      <c r="D1487" s="36">
        <v>530</v>
      </c>
      <c r="E1487" s="42" t="s">
        <v>588</v>
      </c>
      <c r="F1487" s="37" t="s">
        <v>714</v>
      </c>
      <c r="G1487" s="37" t="s">
        <v>458</v>
      </c>
      <c r="H1487" s="38">
        <v>355001</v>
      </c>
      <c r="I1487" s="41" t="s">
        <v>596</v>
      </c>
      <c r="J1487" s="39">
        <v>10629</v>
      </c>
      <c r="K1487" s="39">
        <v>12325</v>
      </c>
      <c r="L1487" s="39">
        <v>8930</v>
      </c>
      <c r="M1487" s="39">
        <v>9028</v>
      </c>
      <c r="N1487" s="1">
        <v>40912</v>
      </c>
      <c r="O1487" s="39" t="s">
        <v>15</v>
      </c>
      <c r="P1487" s="39" t="s">
        <v>706</v>
      </c>
      <c r="Q1487" s="59" t="s">
        <v>707</v>
      </c>
    </row>
    <row r="1488" spans="2:17" ht="33.75" x14ac:dyDescent="0.2">
      <c r="B1488" s="36">
        <v>1705327</v>
      </c>
      <c r="C1488" s="35" t="s">
        <v>710</v>
      </c>
      <c r="D1488" s="36">
        <v>530</v>
      </c>
      <c r="E1488" s="42" t="s">
        <v>588</v>
      </c>
      <c r="F1488" s="37" t="s">
        <v>714</v>
      </c>
      <c r="G1488" s="37" t="s">
        <v>458</v>
      </c>
      <c r="H1488" s="38">
        <v>375001</v>
      </c>
      <c r="I1488" s="41" t="s">
        <v>735</v>
      </c>
      <c r="J1488" s="39">
        <v>16998</v>
      </c>
      <c r="K1488" s="39">
        <v>16998</v>
      </c>
      <c r="L1488" s="39">
        <v>17005</v>
      </c>
      <c r="M1488" s="39">
        <v>16998</v>
      </c>
      <c r="N1488" s="1">
        <v>67999</v>
      </c>
      <c r="O1488" s="39"/>
      <c r="P1488" s="39"/>
      <c r="Q1488" s="59"/>
    </row>
    <row r="1489" spans="2:17" ht="33.75" x14ac:dyDescent="0.2">
      <c r="B1489" s="36">
        <v>1705328</v>
      </c>
      <c r="C1489" s="35" t="s">
        <v>710</v>
      </c>
      <c r="D1489" s="36">
        <v>530</v>
      </c>
      <c r="E1489" s="42" t="s">
        <v>588</v>
      </c>
      <c r="F1489" s="37" t="s">
        <v>716</v>
      </c>
      <c r="G1489" s="37" t="s">
        <v>461</v>
      </c>
      <c r="H1489" s="38">
        <v>211001</v>
      </c>
      <c r="I1489" s="41" t="s">
        <v>590</v>
      </c>
      <c r="J1489" s="39">
        <v>5209</v>
      </c>
      <c r="K1489" s="39">
        <v>11159</v>
      </c>
      <c r="L1489" s="39">
        <v>4224</v>
      </c>
      <c r="M1489" s="39">
        <v>4224</v>
      </c>
      <c r="N1489" s="1">
        <v>24816</v>
      </c>
      <c r="O1489" s="39" t="s">
        <v>5</v>
      </c>
      <c r="P1489" s="39">
        <v>45322</v>
      </c>
      <c r="Q1489" s="59" t="s">
        <v>702</v>
      </c>
    </row>
    <row r="1490" spans="2:17" ht="33.75" x14ac:dyDescent="0.2">
      <c r="B1490" s="36">
        <v>1705328</v>
      </c>
      <c r="C1490" s="35" t="s">
        <v>710</v>
      </c>
      <c r="D1490" s="36">
        <v>530</v>
      </c>
      <c r="E1490" s="42" t="s">
        <v>588</v>
      </c>
      <c r="F1490" s="37" t="s">
        <v>716</v>
      </c>
      <c r="G1490" s="37" t="s">
        <v>461</v>
      </c>
      <c r="H1490" s="38">
        <v>216001</v>
      </c>
      <c r="I1490" s="41" t="s">
        <v>592</v>
      </c>
      <c r="J1490" s="39">
        <v>3000</v>
      </c>
      <c r="K1490" s="39">
        <v>3000</v>
      </c>
      <c r="L1490" s="39">
        <v>3000</v>
      </c>
      <c r="M1490" s="39">
        <v>3000</v>
      </c>
      <c r="N1490" s="1">
        <v>12000</v>
      </c>
      <c r="O1490" s="39" t="s">
        <v>5</v>
      </c>
      <c r="P1490" s="39">
        <v>45322</v>
      </c>
      <c r="Q1490" s="59" t="s">
        <v>702</v>
      </c>
    </row>
    <row r="1491" spans="2:17" ht="33.75" x14ac:dyDescent="0.2">
      <c r="B1491" s="36">
        <v>1705328</v>
      </c>
      <c r="C1491" s="35" t="s">
        <v>710</v>
      </c>
      <c r="D1491" s="36">
        <v>530</v>
      </c>
      <c r="E1491" s="42" t="s">
        <v>588</v>
      </c>
      <c r="F1491" s="37" t="s">
        <v>716</v>
      </c>
      <c r="G1491" s="37" t="s">
        <v>461</v>
      </c>
      <c r="H1491" s="38">
        <v>261001</v>
      </c>
      <c r="I1491" s="41" t="s">
        <v>593</v>
      </c>
      <c r="J1491" s="39">
        <v>45900</v>
      </c>
      <c r="K1491" s="39">
        <v>44100</v>
      </c>
      <c r="L1491" s="39">
        <v>43200</v>
      </c>
      <c r="M1491" s="39">
        <v>43200</v>
      </c>
      <c r="N1491" s="1">
        <v>176400</v>
      </c>
      <c r="O1491" s="39" t="s">
        <v>5</v>
      </c>
      <c r="P1491" s="39">
        <v>45322</v>
      </c>
      <c r="Q1491" s="59" t="s">
        <v>717</v>
      </c>
    </row>
    <row r="1492" spans="2:17" ht="33.75" x14ac:dyDescent="0.2">
      <c r="B1492" s="36">
        <v>1705328</v>
      </c>
      <c r="C1492" s="35" t="s">
        <v>710</v>
      </c>
      <c r="D1492" s="36">
        <v>530</v>
      </c>
      <c r="E1492" s="42" t="s">
        <v>588</v>
      </c>
      <c r="F1492" s="37" t="s">
        <v>716</v>
      </c>
      <c r="G1492" s="37" t="s">
        <v>461</v>
      </c>
      <c r="H1492" s="38">
        <v>261002</v>
      </c>
      <c r="I1492" s="41" t="s">
        <v>730</v>
      </c>
      <c r="J1492" s="39">
        <v>3216</v>
      </c>
      <c r="K1492" s="39">
        <v>3216</v>
      </c>
      <c r="L1492" s="39">
        <v>1164</v>
      </c>
      <c r="M1492" s="39">
        <v>1164</v>
      </c>
      <c r="N1492" s="1">
        <v>8760</v>
      </c>
      <c r="O1492" s="39" t="s">
        <v>6</v>
      </c>
      <c r="P1492" s="39" t="s">
        <v>712</v>
      </c>
      <c r="Q1492" s="59" t="s">
        <v>704</v>
      </c>
    </row>
    <row r="1493" spans="2:17" ht="33.75" x14ac:dyDescent="0.2">
      <c r="B1493" s="36">
        <v>1705328</v>
      </c>
      <c r="C1493" s="35" t="s">
        <v>710</v>
      </c>
      <c r="D1493" s="36">
        <v>530</v>
      </c>
      <c r="E1493" s="42" t="s">
        <v>588</v>
      </c>
      <c r="F1493" s="37" t="s">
        <v>716</v>
      </c>
      <c r="G1493" s="37" t="s">
        <v>458</v>
      </c>
      <c r="H1493" s="38">
        <v>311001</v>
      </c>
      <c r="I1493" s="41" t="s">
        <v>732</v>
      </c>
      <c r="J1493" s="39">
        <v>1178</v>
      </c>
      <c r="K1493" s="39">
        <v>2354</v>
      </c>
      <c r="L1493" s="39">
        <v>1177</v>
      </c>
      <c r="M1493" s="39">
        <v>2354</v>
      </c>
      <c r="N1493" s="1">
        <v>7063</v>
      </c>
      <c r="O1493" s="39"/>
      <c r="P1493" s="39"/>
      <c r="Q1493" s="59"/>
    </row>
    <row r="1494" spans="2:17" ht="33.75" x14ac:dyDescent="0.2">
      <c r="B1494" s="36">
        <v>1705328</v>
      </c>
      <c r="C1494" s="35" t="s">
        <v>710</v>
      </c>
      <c r="D1494" s="36">
        <v>530</v>
      </c>
      <c r="E1494" s="42" t="s">
        <v>588</v>
      </c>
      <c r="F1494" s="37" t="s">
        <v>716</v>
      </c>
      <c r="G1494" s="37" t="s">
        <v>458</v>
      </c>
      <c r="H1494" s="38">
        <v>314001</v>
      </c>
      <c r="I1494" s="41" t="s">
        <v>734</v>
      </c>
      <c r="J1494" s="39">
        <v>1893</v>
      </c>
      <c r="K1494" s="39">
        <v>1893</v>
      </c>
      <c r="L1494" s="39">
        <v>1906</v>
      </c>
      <c r="M1494" s="39">
        <v>1893</v>
      </c>
      <c r="N1494" s="1">
        <v>7585</v>
      </c>
      <c r="O1494" s="39"/>
      <c r="P1494" s="39"/>
      <c r="Q1494" s="59"/>
    </row>
    <row r="1495" spans="2:17" ht="33.75" x14ac:dyDescent="0.2">
      <c r="B1495" s="36">
        <v>1705328</v>
      </c>
      <c r="C1495" s="35" t="s">
        <v>710</v>
      </c>
      <c r="D1495" s="36">
        <v>530</v>
      </c>
      <c r="E1495" s="42" t="s">
        <v>588</v>
      </c>
      <c r="F1495" s="37" t="s">
        <v>716</v>
      </c>
      <c r="G1495" s="37" t="s">
        <v>458</v>
      </c>
      <c r="H1495" s="38">
        <v>355001</v>
      </c>
      <c r="I1495" s="41" t="s">
        <v>596</v>
      </c>
      <c r="J1495" s="39">
        <v>13709</v>
      </c>
      <c r="K1495" s="39">
        <v>15513</v>
      </c>
      <c r="L1495" s="39">
        <v>9452</v>
      </c>
      <c r="M1495" s="39">
        <v>9590</v>
      </c>
      <c r="N1495" s="1">
        <v>48264</v>
      </c>
      <c r="O1495" s="39" t="s">
        <v>15</v>
      </c>
      <c r="P1495" s="39" t="s">
        <v>706</v>
      </c>
      <c r="Q1495" s="59" t="s">
        <v>707</v>
      </c>
    </row>
    <row r="1496" spans="2:17" ht="33.75" x14ac:dyDescent="0.2">
      <c r="B1496" s="36">
        <v>1705328</v>
      </c>
      <c r="C1496" s="35" t="s">
        <v>710</v>
      </c>
      <c r="D1496" s="36">
        <v>530</v>
      </c>
      <c r="E1496" s="42" t="s">
        <v>588</v>
      </c>
      <c r="F1496" s="37" t="s">
        <v>716</v>
      </c>
      <c r="G1496" s="37" t="s">
        <v>458</v>
      </c>
      <c r="H1496" s="38">
        <v>375001</v>
      </c>
      <c r="I1496" s="41" t="s">
        <v>735</v>
      </c>
      <c r="J1496" s="39">
        <v>20855</v>
      </c>
      <c r="K1496" s="39">
        <v>20298</v>
      </c>
      <c r="L1496" s="39">
        <v>16998</v>
      </c>
      <c r="M1496" s="39">
        <v>16998</v>
      </c>
      <c r="N1496" s="1">
        <v>75149</v>
      </c>
      <c r="O1496" s="39"/>
      <c r="P1496" s="39"/>
      <c r="Q1496" s="59"/>
    </row>
    <row r="1497" spans="2:17" ht="22.5" x14ac:dyDescent="0.2">
      <c r="B1497" s="36">
        <v>1705329</v>
      </c>
      <c r="C1497" s="35" t="s">
        <v>710</v>
      </c>
      <c r="D1497" s="36">
        <v>530</v>
      </c>
      <c r="E1497" s="42" t="s">
        <v>588</v>
      </c>
      <c r="F1497" s="37" t="s">
        <v>718</v>
      </c>
      <c r="G1497" s="37" t="s">
        <v>461</v>
      </c>
      <c r="H1497" s="38">
        <v>211001</v>
      </c>
      <c r="I1497" s="41" t="s">
        <v>590</v>
      </c>
      <c r="J1497" s="39">
        <v>4185</v>
      </c>
      <c r="K1497" s="39">
        <v>5955</v>
      </c>
      <c r="L1497" s="39">
        <v>5955</v>
      </c>
      <c r="M1497" s="39">
        <v>5953</v>
      </c>
      <c r="N1497" s="1">
        <v>22048</v>
      </c>
      <c r="O1497" s="39" t="s">
        <v>5</v>
      </c>
      <c r="P1497" s="39">
        <v>45322</v>
      </c>
      <c r="Q1497" s="59" t="s">
        <v>702</v>
      </c>
    </row>
    <row r="1498" spans="2:17" ht="22.5" x14ac:dyDescent="0.2">
      <c r="B1498" s="36">
        <v>1705329</v>
      </c>
      <c r="C1498" s="35" t="s">
        <v>710</v>
      </c>
      <c r="D1498" s="36">
        <v>530</v>
      </c>
      <c r="E1498" s="42" t="s">
        <v>588</v>
      </c>
      <c r="F1498" s="37" t="s">
        <v>718</v>
      </c>
      <c r="G1498" s="37" t="s">
        <v>461</v>
      </c>
      <c r="H1498" s="38">
        <v>212001</v>
      </c>
      <c r="I1498" s="41" t="s">
        <v>591</v>
      </c>
      <c r="J1498" s="39">
        <v>4254</v>
      </c>
      <c r="K1498" s="39">
        <v>4254</v>
      </c>
      <c r="L1498" s="39">
        <v>4254</v>
      </c>
      <c r="M1498" s="39">
        <v>4256</v>
      </c>
      <c r="N1498" s="1">
        <v>17018</v>
      </c>
      <c r="O1498" s="39" t="s">
        <v>15</v>
      </c>
      <c r="P1498" s="39">
        <v>45322</v>
      </c>
      <c r="Q1498" s="59" t="s">
        <v>707</v>
      </c>
    </row>
    <row r="1499" spans="2:17" ht="22.5" x14ac:dyDescent="0.2">
      <c r="B1499" s="36">
        <v>1705329</v>
      </c>
      <c r="C1499" s="35" t="s">
        <v>710</v>
      </c>
      <c r="D1499" s="36">
        <v>530</v>
      </c>
      <c r="E1499" s="42" t="s">
        <v>588</v>
      </c>
      <c r="F1499" s="37" t="s">
        <v>718</v>
      </c>
      <c r="G1499" s="37" t="s">
        <v>461</v>
      </c>
      <c r="H1499" s="38">
        <v>216001</v>
      </c>
      <c r="I1499" s="41" t="s">
        <v>592</v>
      </c>
      <c r="J1499" s="39">
        <v>3000</v>
      </c>
      <c r="K1499" s="39">
        <v>3000</v>
      </c>
      <c r="L1499" s="39">
        <v>3000</v>
      </c>
      <c r="M1499" s="39">
        <v>3000</v>
      </c>
      <c r="N1499" s="1">
        <v>12000</v>
      </c>
      <c r="O1499" s="39" t="s">
        <v>5</v>
      </c>
      <c r="P1499" s="39">
        <v>45322</v>
      </c>
      <c r="Q1499" s="59" t="s">
        <v>702</v>
      </c>
    </row>
    <row r="1500" spans="2:17" ht="22.5" x14ac:dyDescent="0.2">
      <c r="B1500" s="36">
        <v>1705329</v>
      </c>
      <c r="C1500" s="35" t="s">
        <v>710</v>
      </c>
      <c r="D1500" s="36">
        <v>530</v>
      </c>
      <c r="E1500" s="42" t="s">
        <v>588</v>
      </c>
      <c r="F1500" s="37" t="s">
        <v>718</v>
      </c>
      <c r="G1500" s="37" t="s">
        <v>461</v>
      </c>
      <c r="H1500" s="38">
        <v>261001</v>
      </c>
      <c r="I1500" s="41" t="s">
        <v>593</v>
      </c>
      <c r="J1500" s="39">
        <v>33750</v>
      </c>
      <c r="K1500" s="39">
        <v>33750</v>
      </c>
      <c r="L1500" s="39">
        <v>33750</v>
      </c>
      <c r="M1500" s="39">
        <v>33750</v>
      </c>
      <c r="N1500" s="1">
        <v>135000</v>
      </c>
      <c r="O1500" s="39" t="s">
        <v>5</v>
      </c>
      <c r="P1500" s="39">
        <v>45322</v>
      </c>
      <c r="Q1500" s="59" t="s">
        <v>719</v>
      </c>
    </row>
    <row r="1501" spans="2:17" ht="22.5" x14ac:dyDescent="0.2">
      <c r="B1501" s="36">
        <v>1705329</v>
      </c>
      <c r="C1501" s="35" t="s">
        <v>710</v>
      </c>
      <c r="D1501" s="36">
        <v>530</v>
      </c>
      <c r="E1501" s="42" t="s">
        <v>588</v>
      </c>
      <c r="F1501" s="37" t="s">
        <v>718</v>
      </c>
      <c r="G1501" s="37" t="s">
        <v>461</v>
      </c>
      <c r="H1501" s="38">
        <v>296001</v>
      </c>
      <c r="I1501" s="41" t="s">
        <v>731</v>
      </c>
      <c r="J1501" s="39">
        <v>2835</v>
      </c>
      <c r="K1501" s="39">
        <v>2835</v>
      </c>
      <c r="L1501" s="39">
        <v>2835</v>
      </c>
      <c r="M1501" s="39">
        <v>2835</v>
      </c>
      <c r="N1501" s="1">
        <v>11340</v>
      </c>
      <c r="O1501" s="39" t="s">
        <v>6</v>
      </c>
      <c r="P1501" s="39" t="s">
        <v>709</v>
      </c>
      <c r="Q1501" s="59" t="s">
        <v>704</v>
      </c>
    </row>
    <row r="1502" spans="2:17" ht="22.5" x14ac:dyDescent="0.2">
      <c r="B1502" s="36">
        <v>1705329</v>
      </c>
      <c r="C1502" s="35" t="s">
        <v>710</v>
      </c>
      <c r="D1502" s="36">
        <v>530</v>
      </c>
      <c r="E1502" s="42" t="s">
        <v>588</v>
      </c>
      <c r="F1502" s="37" t="s">
        <v>718</v>
      </c>
      <c r="G1502" s="37" t="s">
        <v>458</v>
      </c>
      <c r="H1502" s="38">
        <v>311001</v>
      </c>
      <c r="I1502" s="41" t="s">
        <v>732</v>
      </c>
      <c r="J1502" s="39">
        <v>969</v>
      </c>
      <c r="K1502" s="39">
        <v>1938</v>
      </c>
      <c r="L1502" s="39">
        <v>969</v>
      </c>
      <c r="M1502" s="39">
        <v>1938</v>
      </c>
      <c r="N1502" s="1">
        <v>5814</v>
      </c>
      <c r="O1502" s="39"/>
      <c r="P1502" s="39"/>
      <c r="Q1502" s="59"/>
    </row>
    <row r="1503" spans="2:17" ht="22.5" x14ac:dyDescent="0.2">
      <c r="B1503" s="36">
        <v>1705329</v>
      </c>
      <c r="C1503" s="35" t="s">
        <v>710</v>
      </c>
      <c r="D1503" s="36">
        <v>530</v>
      </c>
      <c r="E1503" s="42" t="s">
        <v>588</v>
      </c>
      <c r="F1503" s="37" t="s">
        <v>718</v>
      </c>
      <c r="G1503" s="37" t="s">
        <v>458</v>
      </c>
      <c r="H1503" s="38">
        <v>314001</v>
      </c>
      <c r="I1503" s="41" t="s">
        <v>734</v>
      </c>
      <c r="J1503" s="39">
        <v>9915</v>
      </c>
      <c r="K1503" s="39">
        <v>10145</v>
      </c>
      <c r="L1503" s="39">
        <v>9915</v>
      </c>
      <c r="M1503" s="39">
        <v>9915</v>
      </c>
      <c r="N1503" s="1">
        <v>39890</v>
      </c>
      <c r="O1503" s="39"/>
      <c r="P1503" s="39"/>
      <c r="Q1503" s="59"/>
    </row>
    <row r="1504" spans="2:17" ht="22.5" x14ac:dyDescent="0.2">
      <c r="B1504" s="36">
        <v>1705329</v>
      </c>
      <c r="C1504" s="35" t="s">
        <v>710</v>
      </c>
      <c r="D1504" s="36">
        <v>530</v>
      </c>
      <c r="E1504" s="42" t="s">
        <v>588</v>
      </c>
      <c r="F1504" s="37" t="s">
        <v>718</v>
      </c>
      <c r="G1504" s="37" t="s">
        <v>458</v>
      </c>
      <c r="H1504" s="38">
        <v>316001</v>
      </c>
      <c r="I1504" s="41" t="s">
        <v>738</v>
      </c>
      <c r="J1504" s="39">
        <v>321702</v>
      </c>
      <c r="K1504" s="39">
        <v>451714</v>
      </c>
      <c r="L1504" s="39">
        <v>455374</v>
      </c>
      <c r="M1504" s="39">
        <v>459782</v>
      </c>
      <c r="N1504" s="1">
        <v>1688572</v>
      </c>
      <c r="O1504" s="39" t="s">
        <v>7</v>
      </c>
      <c r="P1504" s="39" t="s">
        <v>720</v>
      </c>
      <c r="Q1504" s="59" t="s">
        <v>721</v>
      </c>
    </row>
    <row r="1505" spans="2:17" ht="22.5" x14ac:dyDescent="0.2">
      <c r="B1505" s="36">
        <v>1705329</v>
      </c>
      <c r="C1505" s="35" t="s">
        <v>710</v>
      </c>
      <c r="D1505" s="36">
        <v>530</v>
      </c>
      <c r="E1505" s="42" t="s">
        <v>588</v>
      </c>
      <c r="F1505" s="37" t="s">
        <v>718</v>
      </c>
      <c r="G1505" s="37" t="s">
        <v>458</v>
      </c>
      <c r="H1505" s="38">
        <v>351001</v>
      </c>
      <c r="I1505" s="41" t="s">
        <v>611</v>
      </c>
      <c r="J1505" s="39">
        <v>2550</v>
      </c>
      <c r="K1505" s="39">
        <v>2550</v>
      </c>
      <c r="L1505" s="39">
        <v>2550</v>
      </c>
      <c r="M1505" s="39">
        <v>2550</v>
      </c>
      <c r="N1505" s="1">
        <v>10200</v>
      </c>
      <c r="O1505" s="39" t="s">
        <v>6</v>
      </c>
      <c r="P1505" s="39" t="s">
        <v>722</v>
      </c>
      <c r="Q1505" s="59" t="s">
        <v>704</v>
      </c>
    </row>
    <row r="1506" spans="2:17" ht="27" x14ac:dyDescent="0.2">
      <c r="B1506" s="36">
        <v>1705329</v>
      </c>
      <c r="C1506" s="35" t="s">
        <v>710</v>
      </c>
      <c r="D1506" s="36">
        <v>530</v>
      </c>
      <c r="E1506" s="42" t="s">
        <v>588</v>
      </c>
      <c r="F1506" s="37" t="s">
        <v>718</v>
      </c>
      <c r="G1506" s="37" t="s">
        <v>458</v>
      </c>
      <c r="H1506" s="38">
        <v>355001</v>
      </c>
      <c r="I1506" s="41" t="s">
        <v>596</v>
      </c>
      <c r="J1506" s="39">
        <v>9803</v>
      </c>
      <c r="K1506" s="39">
        <v>14409</v>
      </c>
      <c r="L1506" s="39">
        <v>14412</v>
      </c>
      <c r="M1506" s="39">
        <v>14412</v>
      </c>
      <c r="N1506" s="1">
        <v>53036</v>
      </c>
      <c r="O1506" s="39" t="s">
        <v>15</v>
      </c>
      <c r="P1506" s="39" t="s">
        <v>706</v>
      </c>
      <c r="Q1506" s="59" t="s">
        <v>707</v>
      </c>
    </row>
    <row r="1507" spans="2:17" ht="22.5" x14ac:dyDescent="0.2">
      <c r="B1507" s="36">
        <v>1705329</v>
      </c>
      <c r="C1507" s="35" t="s">
        <v>710</v>
      </c>
      <c r="D1507" s="36">
        <v>530</v>
      </c>
      <c r="E1507" s="42" t="s">
        <v>588</v>
      </c>
      <c r="F1507" s="37" t="s">
        <v>718</v>
      </c>
      <c r="G1507" s="37" t="s">
        <v>458</v>
      </c>
      <c r="H1507" s="38">
        <v>375001</v>
      </c>
      <c r="I1507" s="41" t="s">
        <v>735</v>
      </c>
      <c r="J1507" s="39">
        <v>30445</v>
      </c>
      <c r="K1507" s="39">
        <v>30417</v>
      </c>
      <c r="L1507" s="39">
        <v>30409</v>
      </c>
      <c r="M1507" s="39">
        <v>30420</v>
      </c>
      <c r="N1507" s="1">
        <v>121691</v>
      </c>
      <c r="O1507" s="39"/>
      <c r="P1507" s="39"/>
      <c r="Q1507" s="59"/>
    </row>
    <row r="1508" spans="2:17" x14ac:dyDescent="0.2">
      <c r="B1508" s="36"/>
      <c r="C1508" s="35"/>
      <c r="D1508" s="36"/>
      <c r="E1508" s="42" t="str">
        <f>IF(D1508&lt;=0,"",VLOOKUP(D1508,[1]FF!A:D,2,0))</f>
        <v/>
      </c>
      <c r="F1508" s="37"/>
      <c r="G1508" s="37"/>
      <c r="H1508" s="38"/>
      <c r="I1508" s="41" t="str">
        <f>IF(H1508&lt;=0,"",VLOOKUP(H1508,COG!A:H,2,0))</f>
        <v/>
      </c>
      <c r="J1508" s="39"/>
      <c r="K1508" s="39"/>
      <c r="L1508" s="39"/>
      <c r="M1508" s="39"/>
      <c r="N1508" s="1">
        <f ca="1">SUBTOTAL(109,Tabla10[[PRESUPUESTO ANUAL AUTORIZADO ]])</f>
        <v>12737941</v>
      </c>
      <c r="O1508" s="39"/>
      <c r="P1508" s="39"/>
      <c r="Q1508" s="59"/>
    </row>
    <row r="1510" spans="2:17" ht="23.25" x14ac:dyDescent="0.2">
      <c r="B1510" s="111" t="s">
        <v>4</v>
      </c>
      <c r="C1510" s="111"/>
      <c r="D1510" s="111"/>
      <c r="E1510" s="111"/>
      <c r="F1510" s="111"/>
      <c r="G1510" s="111"/>
      <c r="H1510" s="111"/>
      <c r="I1510" s="111"/>
      <c r="J1510" s="111"/>
      <c r="K1510" s="111"/>
      <c r="L1510" s="111"/>
      <c r="M1510" s="111"/>
      <c r="N1510" s="111"/>
      <c r="O1510" s="111"/>
      <c r="P1510" s="111"/>
      <c r="Q1510" s="111"/>
    </row>
    <row r="1511" spans="2:17" ht="23.25" x14ac:dyDescent="0.2">
      <c r="B1511" s="109" t="s">
        <v>800</v>
      </c>
      <c r="C1511" s="109"/>
      <c r="D1511" s="109"/>
      <c r="E1511" s="109"/>
      <c r="F1511" s="109"/>
      <c r="G1511" s="109"/>
      <c r="H1511" s="109"/>
      <c r="I1511" s="109"/>
      <c r="J1511" s="109"/>
      <c r="K1511" s="109"/>
      <c r="L1511" s="109"/>
      <c r="M1511" s="109"/>
      <c r="N1511" s="109"/>
      <c r="O1511" s="109"/>
      <c r="P1511" s="109"/>
      <c r="Q1511" s="109"/>
    </row>
    <row r="1512" spans="2:17" s="90" customFormat="1" ht="23.25" x14ac:dyDescent="0.2">
      <c r="B1512" s="110" t="s">
        <v>466</v>
      </c>
      <c r="C1512" s="110"/>
      <c r="D1512" s="110"/>
      <c r="E1512" s="110"/>
      <c r="F1512" s="110"/>
      <c r="G1512" s="110"/>
      <c r="H1512" s="110"/>
      <c r="I1512" s="110"/>
      <c r="J1512" s="110"/>
      <c r="K1512" s="110"/>
      <c r="L1512" s="110"/>
      <c r="M1512" s="110"/>
      <c r="N1512" s="110"/>
      <c r="O1512" s="110"/>
      <c r="P1512" s="110"/>
      <c r="Q1512" s="110"/>
    </row>
    <row r="1513" spans="2:17" ht="45" x14ac:dyDescent="0.2">
      <c r="B1513" s="5" t="s">
        <v>9</v>
      </c>
      <c r="C1513" s="5" t="s">
        <v>10</v>
      </c>
      <c r="D1513" s="5" t="s">
        <v>1</v>
      </c>
      <c r="E1513" s="5" t="s">
        <v>0</v>
      </c>
      <c r="F1513" s="78" t="s">
        <v>17</v>
      </c>
      <c r="G1513" s="5" t="s">
        <v>2</v>
      </c>
      <c r="H1513" s="5" t="s">
        <v>11</v>
      </c>
      <c r="I1513" s="5" t="s">
        <v>16</v>
      </c>
      <c r="J1513" s="5" t="s">
        <v>465</v>
      </c>
      <c r="K1513" s="5" t="s">
        <v>462</v>
      </c>
      <c r="L1513" s="5" t="s">
        <v>463</v>
      </c>
      <c r="M1513" s="5" t="s">
        <v>464</v>
      </c>
      <c r="N1513" s="5" t="s">
        <v>12</v>
      </c>
      <c r="O1513" s="5" t="s">
        <v>3</v>
      </c>
      <c r="P1513" s="5" t="s">
        <v>13</v>
      </c>
      <c r="Q1513" s="5" t="s">
        <v>8</v>
      </c>
    </row>
    <row r="1514" spans="2:17" ht="57" x14ac:dyDescent="0.2">
      <c r="B1514" s="132">
        <v>1001</v>
      </c>
      <c r="C1514" s="133" t="s">
        <v>779</v>
      </c>
      <c r="D1514" s="134">
        <v>537</v>
      </c>
      <c r="E1514" s="134" t="s">
        <v>780</v>
      </c>
      <c r="F1514" s="134" t="s">
        <v>781</v>
      </c>
      <c r="G1514" s="134" t="s">
        <v>461</v>
      </c>
      <c r="H1514" s="135">
        <v>211001</v>
      </c>
      <c r="I1514" s="135" t="s">
        <v>590</v>
      </c>
      <c r="J1514" s="136">
        <v>750000</v>
      </c>
      <c r="K1514" s="136">
        <v>750000</v>
      </c>
      <c r="L1514" s="136">
        <v>750000</v>
      </c>
      <c r="M1514" s="136">
        <v>750000</v>
      </c>
      <c r="N1514" s="136">
        <f>Tabla13[[#This Row],[TRIMESTRE  I]]+Tabla13[[#This Row],[TRIMESTRE II]]+Tabla13[[#This Row],[TRIMESTRE III]]+Tabla13[[#This Row],[TRIMESTRE IV]]</f>
        <v>3000000</v>
      </c>
      <c r="O1514" s="136" t="s">
        <v>7</v>
      </c>
      <c r="P1514" s="137">
        <v>45292</v>
      </c>
      <c r="Q1514" s="135" t="s">
        <v>782</v>
      </c>
    </row>
    <row r="1515" spans="2:17" ht="57" x14ac:dyDescent="0.2">
      <c r="B1515" s="138">
        <v>1001</v>
      </c>
      <c r="C1515" s="139" t="s">
        <v>779</v>
      </c>
      <c r="D1515" s="140">
        <v>537</v>
      </c>
      <c r="E1515" s="140" t="s">
        <v>780</v>
      </c>
      <c r="F1515" s="140" t="s">
        <v>781</v>
      </c>
      <c r="G1515" s="140" t="s">
        <v>461</v>
      </c>
      <c r="H1515" s="141">
        <v>216001</v>
      </c>
      <c r="I1515" s="141" t="s">
        <v>592</v>
      </c>
      <c r="J1515" s="142">
        <v>2000000</v>
      </c>
      <c r="K1515" s="142">
        <v>2000000</v>
      </c>
      <c r="L1515" s="142">
        <v>2000000</v>
      </c>
      <c r="M1515" s="142">
        <v>2000000</v>
      </c>
      <c r="N1515" s="136">
        <f>Tabla13[[#This Row],[TRIMESTRE  I]]+Tabla13[[#This Row],[TRIMESTRE II]]+Tabla13[[#This Row],[TRIMESTRE III]]+Tabla13[[#This Row],[TRIMESTRE IV]]</f>
        <v>8000000</v>
      </c>
      <c r="O1515" s="142" t="s">
        <v>7</v>
      </c>
      <c r="P1515" s="143">
        <v>45292</v>
      </c>
      <c r="Q1515" s="141" t="s">
        <v>782</v>
      </c>
    </row>
    <row r="1516" spans="2:17" ht="57" x14ac:dyDescent="0.2">
      <c r="B1516" s="132">
        <v>1001</v>
      </c>
      <c r="C1516" s="133" t="s">
        <v>779</v>
      </c>
      <c r="D1516" s="134">
        <v>537</v>
      </c>
      <c r="E1516" s="134" t="s">
        <v>780</v>
      </c>
      <c r="F1516" s="134" t="s">
        <v>781</v>
      </c>
      <c r="G1516" s="134" t="s">
        <v>461</v>
      </c>
      <c r="H1516" s="144">
        <v>221001</v>
      </c>
      <c r="I1516" s="135" t="s">
        <v>642</v>
      </c>
      <c r="J1516" s="136">
        <v>3250000</v>
      </c>
      <c r="K1516" s="136">
        <v>3250000</v>
      </c>
      <c r="L1516" s="136">
        <v>3250000</v>
      </c>
      <c r="M1516" s="136">
        <v>3250000</v>
      </c>
      <c r="N1516" s="136">
        <f>Tabla13[[#This Row],[TRIMESTRE  I]]+Tabla13[[#This Row],[TRIMESTRE II]]+Tabla13[[#This Row],[TRIMESTRE III]]+Tabla13[[#This Row],[TRIMESTRE IV]]</f>
        <v>13000000</v>
      </c>
      <c r="O1516" s="136" t="s">
        <v>7</v>
      </c>
      <c r="P1516" s="137">
        <v>45292</v>
      </c>
      <c r="Q1516" s="135" t="s">
        <v>782</v>
      </c>
    </row>
    <row r="1517" spans="2:17" ht="57" x14ac:dyDescent="0.2">
      <c r="B1517" s="138">
        <v>1001</v>
      </c>
      <c r="C1517" s="139" t="s">
        <v>779</v>
      </c>
      <c r="D1517" s="140">
        <v>537</v>
      </c>
      <c r="E1517" s="140" t="s">
        <v>780</v>
      </c>
      <c r="F1517" s="140" t="s">
        <v>781</v>
      </c>
      <c r="G1517" s="140" t="s">
        <v>461</v>
      </c>
      <c r="H1517" s="141">
        <v>252001</v>
      </c>
      <c r="I1517" s="141" t="s">
        <v>783</v>
      </c>
      <c r="J1517" s="142"/>
      <c r="K1517" s="142"/>
      <c r="L1517" s="142">
        <v>10000000</v>
      </c>
      <c r="M1517" s="142">
        <v>10000000</v>
      </c>
      <c r="N1517" s="136">
        <f>Tabla13[[#This Row],[TRIMESTRE  I]]+Tabla13[[#This Row],[TRIMESTRE II]]+Tabla13[[#This Row],[TRIMESTRE III]]+Tabla13[[#This Row],[TRIMESTRE IV]]</f>
        <v>20000000</v>
      </c>
      <c r="O1517" s="142" t="s">
        <v>7</v>
      </c>
      <c r="P1517" s="143">
        <v>45292</v>
      </c>
      <c r="Q1517" s="141" t="s">
        <v>782</v>
      </c>
    </row>
    <row r="1518" spans="2:17" ht="57" x14ac:dyDescent="0.2">
      <c r="B1518" s="132">
        <v>1001</v>
      </c>
      <c r="C1518" s="133" t="s">
        <v>779</v>
      </c>
      <c r="D1518" s="134">
        <v>573</v>
      </c>
      <c r="E1518" s="134" t="s">
        <v>780</v>
      </c>
      <c r="F1518" s="134" t="s">
        <v>781</v>
      </c>
      <c r="G1518" s="134" t="s">
        <v>461</v>
      </c>
      <c r="H1518" s="135">
        <v>253000</v>
      </c>
      <c r="I1518" s="135" t="s">
        <v>784</v>
      </c>
      <c r="J1518" s="136">
        <v>3750000</v>
      </c>
      <c r="K1518" s="136">
        <v>3750000</v>
      </c>
      <c r="L1518" s="136">
        <v>3750000</v>
      </c>
      <c r="M1518" s="136">
        <v>3750000</v>
      </c>
      <c r="N1518" s="136">
        <f>Tabla13[[#This Row],[TRIMESTRE  I]]+Tabla13[[#This Row],[TRIMESTRE II]]+Tabla13[[#This Row],[TRIMESTRE III]]+Tabla13[[#This Row],[TRIMESTRE IV]]</f>
        <v>15000000</v>
      </c>
      <c r="O1518" s="136" t="s">
        <v>6</v>
      </c>
      <c r="P1518" s="137">
        <v>45292</v>
      </c>
      <c r="Q1518" s="135" t="s">
        <v>782</v>
      </c>
    </row>
    <row r="1519" spans="2:17" ht="57" x14ac:dyDescent="0.2">
      <c r="B1519" s="138">
        <v>1001</v>
      </c>
      <c r="C1519" s="139" t="s">
        <v>779</v>
      </c>
      <c r="D1519" s="140">
        <v>573</v>
      </c>
      <c r="E1519" s="140" t="s">
        <v>780</v>
      </c>
      <c r="F1519" s="140" t="s">
        <v>781</v>
      </c>
      <c r="G1519" s="140" t="s">
        <v>461</v>
      </c>
      <c r="H1519" s="141">
        <v>259000</v>
      </c>
      <c r="I1519" s="141" t="s">
        <v>785</v>
      </c>
      <c r="J1519" s="142"/>
      <c r="K1519" s="142">
        <v>4000000</v>
      </c>
      <c r="L1519" s="142">
        <v>3000000</v>
      </c>
      <c r="M1519" s="142">
        <v>3000000</v>
      </c>
      <c r="N1519" s="136">
        <f>Tabla13[[#This Row],[TRIMESTRE  I]]+Tabla13[[#This Row],[TRIMESTRE II]]+Tabla13[[#This Row],[TRIMESTRE III]]+Tabla13[[#This Row],[TRIMESTRE IV]]</f>
        <v>10000000</v>
      </c>
      <c r="O1519" s="142" t="s">
        <v>7</v>
      </c>
      <c r="P1519" s="143">
        <v>45292</v>
      </c>
      <c r="Q1519" s="141" t="s">
        <v>782</v>
      </c>
    </row>
    <row r="1520" spans="2:17" ht="57" x14ac:dyDescent="0.2">
      <c r="B1520" s="132">
        <v>1001</v>
      </c>
      <c r="C1520" s="133" t="s">
        <v>779</v>
      </c>
      <c r="D1520" s="134">
        <v>537</v>
      </c>
      <c r="E1520" s="134" t="s">
        <v>780</v>
      </c>
      <c r="F1520" s="134" t="s">
        <v>781</v>
      </c>
      <c r="G1520" s="134" t="s">
        <v>461</v>
      </c>
      <c r="H1520" s="135">
        <v>261000</v>
      </c>
      <c r="I1520" s="135" t="s">
        <v>786</v>
      </c>
      <c r="J1520" s="136">
        <v>4000000</v>
      </c>
      <c r="K1520" s="136">
        <v>4000000</v>
      </c>
      <c r="L1520" s="136">
        <v>4000000</v>
      </c>
      <c r="M1520" s="136">
        <v>4000000</v>
      </c>
      <c r="N1520" s="136">
        <f>Tabla13[[#This Row],[TRIMESTRE  I]]+Tabla13[[#This Row],[TRIMESTRE II]]+Tabla13[[#This Row],[TRIMESTRE III]]+Tabla13[[#This Row],[TRIMESTRE IV]]</f>
        <v>16000000</v>
      </c>
      <c r="O1520" s="136" t="s">
        <v>7</v>
      </c>
      <c r="P1520" s="137">
        <v>45292</v>
      </c>
      <c r="Q1520" s="135" t="s">
        <v>782</v>
      </c>
    </row>
    <row r="1521" spans="2:17" ht="57" x14ac:dyDescent="0.2">
      <c r="B1521" s="138">
        <v>1001</v>
      </c>
      <c r="C1521" s="139" t="s">
        <v>779</v>
      </c>
      <c r="D1521" s="140">
        <v>530</v>
      </c>
      <c r="E1521" s="140" t="s">
        <v>787</v>
      </c>
      <c r="F1521" s="140" t="s">
        <v>781</v>
      </c>
      <c r="G1521" s="140" t="s">
        <v>461</v>
      </c>
      <c r="H1521" s="141">
        <v>271001</v>
      </c>
      <c r="I1521" s="141" t="s">
        <v>788</v>
      </c>
      <c r="J1521" s="142"/>
      <c r="K1521" s="142"/>
      <c r="L1521" s="142">
        <v>4250000</v>
      </c>
      <c r="M1521" s="142">
        <v>4250000</v>
      </c>
      <c r="N1521" s="136">
        <f>Tabla13[[#This Row],[TRIMESTRE  I]]+Tabla13[[#This Row],[TRIMESTRE II]]+Tabla13[[#This Row],[TRIMESTRE III]]+Tabla13[[#This Row],[TRIMESTRE IV]]</f>
        <v>8500000</v>
      </c>
      <c r="O1521" s="142" t="s">
        <v>7</v>
      </c>
      <c r="P1521" s="143">
        <v>45292</v>
      </c>
      <c r="Q1521" s="141" t="s">
        <v>782</v>
      </c>
    </row>
    <row r="1522" spans="2:17" ht="57" x14ac:dyDescent="0.2">
      <c r="B1522" s="132">
        <v>1001</v>
      </c>
      <c r="C1522" s="133" t="s">
        <v>779</v>
      </c>
      <c r="D1522" s="134">
        <v>530</v>
      </c>
      <c r="E1522" s="134" t="s">
        <v>787</v>
      </c>
      <c r="F1522" s="134" t="s">
        <v>781</v>
      </c>
      <c r="G1522" s="134" t="s">
        <v>461</v>
      </c>
      <c r="H1522" s="135">
        <v>271001</v>
      </c>
      <c r="I1522" s="135" t="s">
        <v>788</v>
      </c>
      <c r="J1522" s="136"/>
      <c r="K1522" s="136"/>
      <c r="L1522" s="136">
        <v>1500000</v>
      </c>
      <c r="M1522" s="136">
        <v>1500000</v>
      </c>
      <c r="N1522" s="136">
        <f>Tabla13[[#This Row],[TRIMESTRE  I]]+Tabla13[[#This Row],[TRIMESTRE II]]+Tabla13[[#This Row],[TRIMESTRE III]]+Tabla13[[#This Row],[TRIMESTRE IV]]</f>
        <v>3000000</v>
      </c>
      <c r="O1522" s="136" t="s">
        <v>7</v>
      </c>
      <c r="P1522" s="137">
        <v>45292</v>
      </c>
      <c r="Q1522" s="135" t="s">
        <v>782</v>
      </c>
    </row>
    <row r="1523" spans="2:17" ht="57" x14ac:dyDescent="0.2">
      <c r="B1523" s="138">
        <v>1001</v>
      </c>
      <c r="C1523" s="139" t="s">
        <v>779</v>
      </c>
      <c r="D1523" s="140">
        <v>537</v>
      </c>
      <c r="E1523" s="140" t="s">
        <v>780</v>
      </c>
      <c r="F1523" s="140" t="s">
        <v>781</v>
      </c>
      <c r="G1523" s="140" t="s">
        <v>458</v>
      </c>
      <c r="H1523" s="141">
        <v>311001</v>
      </c>
      <c r="I1523" s="141" t="s">
        <v>732</v>
      </c>
      <c r="J1523" s="142">
        <v>12250000</v>
      </c>
      <c r="K1523" s="142">
        <v>12250000</v>
      </c>
      <c r="L1523" s="142">
        <v>12250000</v>
      </c>
      <c r="M1523" s="142">
        <v>12250000</v>
      </c>
      <c r="N1523" s="136">
        <f>Tabla13[[#This Row],[TRIMESTRE  I]]+Tabla13[[#This Row],[TRIMESTRE II]]+Tabla13[[#This Row],[TRIMESTRE III]]+Tabla13[[#This Row],[TRIMESTRE IV]]</f>
        <v>49000000</v>
      </c>
      <c r="O1523" s="142" t="s">
        <v>6</v>
      </c>
      <c r="P1523" s="143">
        <v>45292</v>
      </c>
      <c r="Q1523" s="141" t="s">
        <v>782</v>
      </c>
    </row>
    <row r="1524" spans="2:17" ht="57" x14ac:dyDescent="0.2">
      <c r="B1524" s="132">
        <v>1001</v>
      </c>
      <c r="C1524" s="133" t="s">
        <v>779</v>
      </c>
      <c r="D1524" s="134">
        <v>530</v>
      </c>
      <c r="E1524" s="134" t="s">
        <v>787</v>
      </c>
      <c r="F1524" s="134" t="s">
        <v>781</v>
      </c>
      <c r="G1524" s="134" t="s">
        <v>458</v>
      </c>
      <c r="H1524" s="135">
        <v>312001</v>
      </c>
      <c r="I1524" s="135" t="s">
        <v>789</v>
      </c>
      <c r="J1524" s="136">
        <v>550000</v>
      </c>
      <c r="K1524" s="136">
        <v>550000</v>
      </c>
      <c r="L1524" s="136">
        <v>550000</v>
      </c>
      <c r="M1524" s="136">
        <v>550000</v>
      </c>
      <c r="N1524" s="136">
        <f>Tabla13[[#This Row],[TRIMESTRE  I]]+Tabla13[[#This Row],[TRIMESTRE II]]+Tabla13[[#This Row],[TRIMESTRE III]]+Tabla13[[#This Row],[TRIMESTRE IV]]</f>
        <v>2200000</v>
      </c>
      <c r="O1524" s="136" t="s">
        <v>6</v>
      </c>
      <c r="P1524" s="137">
        <v>45292</v>
      </c>
      <c r="Q1524" s="135" t="s">
        <v>782</v>
      </c>
    </row>
    <row r="1525" spans="2:17" ht="57" x14ac:dyDescent="0.2">
      <c r="B1525" s="138">
        <v>1001</v>
      </c>
      <c r="C1525" s="139" t="s">
        <v>779</v>
      </c>
      <c r="D1525" s="140">
        <v>537</v>
      </c>
      <c r="E1525" s="140" t="s">
        <v>780</v>
      </c>
      <c r="F1525" s="140" t="s">
        <v>781</v>
      </c>
      <c r="G1525" s="140" t="s">
        <v>458</v>
      </c>
      <c r="H1525" s="141">
        <v>313001</v>
      </c>
      <c r="I1525" s="141" t="s">
        <v>733</v>
      </c>
      <c r="J1525" s="142">
        <v>1000000</v>
      </c>
      <c r="K1525" s="142">
        <v>1000000</v>
      </c>
      <c r="L1525" s="142">
        <v>1000000</v>
      </c>
      <c r="M1525" s="142">
        <v>1000000</v>
      </c>
      <c r="N1525" s="136">
        <f>Tabla13[[#This Row],[TRIMESTRE  I]]+Tabla13[[#This Row],[TRIMESTRE II]]+Tabla13[[#This Row],[TRIMESTRE III]]+Tabla13[[#This Row],[TRIMESTRE IV]]</f>
        <v>4000000</v>
      </c>
      <c r="O1525" s="142" t="s">
        <v>6</v>
      </c>
      <c r="P1525" s="143">
        <v>45292</v>
      </c>
      <c r="Q1525" s="141" t="s">
        <v>782</v>
      </c>
    </row>
    <row r="1526" spans="2:17" ht="57" x14ac:dyDescent="0.2">
      <c r="B1526" s="132">
        <v>1001</v>
      </c>
      <c r="C1526" s="133" t="s">
        <v>779</v>
      </c>
      <c r="D1526" s="134">
        <v>537</v>
      </c>
      <c r="E1526" s="134" t="s">
        <v>780</v>
      </c>
      <c r="F1526" s="134" t="s">
        <v>781</v>
      </c>
      <c r="G1526" s="134" t="s">
        <v>458</v>
      </c>
      <c r="H1526" s="135">
        <v>313001</v>
      </c>
      <c r="I1526" s="135" t="s">
        <v>733</v>
      </c>
      <c r="J1526" s="136">
        <v>150000</v>
      </c>
      <c r="K1526" s="136">
        <v>150000</v>
      </c>
      <c r="L1526" s="136">
        <v>150000</v>
      </c>
      <c r="M1526" s="136">
        <v>150000</v>
      </c>
      <c r="N1526" s="136">
        <f>Tabla13[[#This Row],[TRIMESTRE  I]]+Tabla13[[#This Row],[TRIMESTRE II]]+Tabla13[[#This Row],[TRIMESTRE III]]+Tabla13[[#This Row],[TRIMESTRE IV]]</f>
        <v>600000</v>
      </c>
      <c r="O1526" s="136" t="s">
        <v>6</v>
      </c>
      <c r="P1526" s="137">
        <v>45292</v>
      </c>
      <c r="Q1526" s="135" t="s">
        <v>782</v>
      </c>
    </row>
    <row r="1527" spans="2:17" ht="57" x14ac:dyDescent="0.2">
      <c r="B1527" s="138">
        <v>1001</v>
      </c>
      <c r="C1527" s="139" t="s">
        <v>779</v>
      </c>
      <c r="D1527" s="140">
        <v>537</v>
      </c>
      <c r="E1527" s="140" t="s">
        <v>780</v>
      </c>
      <c r="F1527" s="140" t="s">
        <v>781</v>
      </c>
      <c r="G1527" s="140" t="s">
        <v>458</v>
      </c>
      <c r="H1527" s="141">
        <v>314001</v>
      </c>
      <c r="I1527" s="141" t="s">
        <v>734</v>
      </c>
      <c r="J1527" s="142">
        <v>375000</v>
      </c>
      <c r="K1527" s="142">
        <v>375000</v>
      </c>
      <c r="L1527" s="142">
        <v>375000</v>
      </c>
      <c r="M1527" s="142">
        <v>375000</v>
      </c>
      <c r="N1527" s="136">
        <f>Tabla13[[#This Row],[TRIMESTRE  I]]+Tabla13[[#This Row],[TRIMESTRE II]]+Tabla13[[#This Row],[TRIMESTRE III]]+Tabla13[[#This Row],[TRIMESTRE IV]]</f>
        <v>1500000</v>
      </c>
      <c r="O1527" s="142" t="s">
        <v>6</v>
      </c>
      <c r="P1527" s="143">
        <v>45292</v>
      </c>
      <c r="Q1527" s="141" t="s">
        <v>782</v>
      </c>
    </row>
    <row r="1528" spans="2:17" ht="57" x14ac:dyDescent="0.2">
      <c r="B1528" s="132">
        <v>1001</v>
      </c>
      <c r="C1528" s="133" t="s">
        <v>779</v>
      </c>
      <c r="D1528" s="134">
        <v>537</v>
      </c>
      <c r="E1528" s="134" t="s">
        <v>780</v>
      </c>
      <c r="F1528" s="134" t="s">
        <v>781</v>
      </c>
      <c r="G1528" s="134" t="s">
        <v>458</v>
      </c>
      <c r="H1528" s="135">
        <v>317001</v>
      </c>
      <c r="I1528" s="135" t="s">
        <v>790</v>
      </c>
      <c r="J1528" s="136">
        <v>375000</v>
      </c>
      <c r="K1528" s="136">
        <v>375000</v>
      </c>
      <c r="L1528" s="136">
        <v>375000</v>
      </c>
      <c r="M1528" s="136">
        <v>375000</v>
      </c>
      <c r="N1528" s="136">
        <f>Tabla13[[#This Row],[TRIMESTRE  I]]+Tabla13[[#This Row],[TRIMESTRE II]]+Tabla13[[#This Row],[TRIMESTRE III]]+Tabla13[[#This Row],[TRIMESTRE IV]]</f>
        <v>1500000</v>
      </c>
      <c r="O1528" s="136" t="s">
        <v>6</v>
      </c>
      <c r="P1528" s="137">
        <v>45292</v>
      </c>
      <c r="Q1528" s="135" t="s">
        <v>782</v>
      </c>
    </row>
    <row r="1529" spans="2:17" ht="57" x14ac:dyDescent="0.2">
      <c r="B1529" s="138">
        <v>1001</v>
      </c>
      <c r="C1529" s="139" t="s">
        <v>779</v>
      </c>
      <c r="D1529" s="140">
        <v>537</v>
      </c>
      <c r="E1529" s="140" t="s">
        <v>780</v>
      </c>
      <c r="F1529" s="140" t="s">
        <v>781</v>
      </c>
      <c r="G1529" s="140" t="s">
        <v>458</v>
      </c>
      <c r="H1529" s="141">
        <v>318001</v>
      </c>
      <c r="I1529" s="141" t="s">
        <v>736</v>
      </c>
      <c r="J1529" s="142">
        <v>200000</v>
      </c>
      <c r="K1529" s="142">
        <v>200000</v>
      </c>
      <c r="L1529" s="142">
        <v>200000</v>
      </c>
      <c r="M1529" s="142">
        <v>200000</v>
      </c>
      <c r="N1529" s="136">
        <f>Tabla13[[#This Row],[TRIMESTRE  I]]+Tabla13[[#This Row],[TRIMESTRE II]]+Tabla13[[#This Row],[TRIMESTRE III]]+Tabla13[[#This Row],[TRIMESTRE IV]]</f>
        <v>800000</v>
      </c>
      <c r="O1529" s="142" t="s">
        <v>6</v>
      </c>
      <c r="P1529" s="143">
        <v>45292</v>
      </c>
      <c r="Q1529" s="141" t="s">
        <v>782</v>
      </c>
    </row>
    <row r="1530" spans="2:17" ht="57" x14ac:dyDescent="0.2">
      <c r="B1530" s="132">
        <v>1001</v>
      </c>
      <c r="C1530" s="133" t="s">
        <v>779</v>
      </c>
      <c r="D1530" s="134">
        <v>530</v>
      </c>
      <c r="E1530" s="134" t="s">
        <v>787</v>
      </c>
      <c r="F1530" s="134" t="s">
        <v>781</v>
      </c>
      <c r="G1530" s="134" t="s">
        <v>458</v>
      </c>
      <c r="H1530" s="135">
        <v>322001</v>
      </c>
      <c r="I1530" s="135" t="s">
        <v>601</v>
      </c>
      <c r="J1530" s="136">
        <v>450000</v>
      </c>
      <c r="K1530" s="136">
        <v>450000</v>
      </c>
      <c r="L1530" s="136">
        <v>450000</v>
      </c>
      <c r="M1530" s="136">
        <v>450000</v>
      </c>
      <c r="N1530" s="136">
        <f>Tabla13[[#This Row],[TRIMESTRE  I]]+Tabla13[[#This Row],[TRIMESTRE II]]+Tabla13[[#This Row],[TRIMESTRE III]]+Tabla13[[#This Row],[TRIMESTRE IV]]</f>
        <v>1800000</v>
      </c>
      <c r="O1530" s="136" t="s">
        <v>6</v>
      </c>
      <c r="P1530" s="137">
        <v>45292</v>
      </c>
      <c r="Q1530" s="135" t="s">
        <v>782</v>
      </c>
    </row>
    <row r="1531" spans="2:17" ht="57" x14ac:dyDescent="0.2">
      <c r="B1531" s="138">
        <v>1001</v>
      </c>
      <c r="C1531" s="139" t="s">
        <v>779</v>
      </c>
      <c r="D1531" s="140">
        <v>537</v>
      </c>
      <c r="E1531" s="140" t="s">
        <v>780</v>
      </c>
      <c r="F1531" s="140" t="s">
        <v>781</v>
      </c>
      <c r="G1531" s="140" t="s">
        <v>458</v>
      </c>
      <c r="H1531" s="141">
        <v>336001</v>
      </c>
      <c r="I1531" s="141" t="s">
        <v>791</v>
      </c>
      <c r="J1531" s="142">
        <v>625000</v>
      </c>
      <c r="K1531" s="142">
        <v>625000</v>
      </c>
      <c r="L1531" s="142">
        <v>625000</v>
      </c>
      <c r="M1531" s="142">
        <v>625000</v>
      </c>
      <c r="N1531" s="136">
        <f>Tabla13[[#This Row],[TRIMESTRE  I]]+Tabla13[[#This Row],[TRIMESTRE II]]+Tabla13[[#This Row],[TRIMESTRE III]]+Tabla13[[#This Row],[TRIMESTRE IV]]</f>
        <v>2500000</v>
      </c>
      <c r="O1531" s="142" t="s">
        <v>7</v>
      </c>
      <c r="P1531" s="143">
        <v>45292</v>
      </c>
      <c r="Q1531" s="141" t="s">
        <v>782</v>
      </c>
    </row>
    <row r="1532" spans="2:17" ht="57" x14ac:dyDescent="0.2">
      <c r="B1532" s="132">
        <v>1001</v>
      </c>
      <c r="C1532" s="133" t="s">
        <v>779</v>
      </c>
      <c r="D1532" s="134">
        <v>537</v>
      </c>
      <c r="E1532" s="134" t="s">
        <v>780</v>
      </c>
      <c r="F1532" s="134" t="s">
        <v>781</v>
      </c>
      <c r="G1532" s="134" t="s">
        <v>458</v>
      </c>
      <c r="H1532" s="135">
        <v>338001</v>
      </c>
      <c r="I1532" s="135" t="s">
        <v>647</v>
      </c>
      <c r="J1532" s="136">
        <v>4500000</v>
      </c>
      <c r="K1532" s="136">
        <v>4500000</v>
      </c>
      <c r="L1532" s="136">
        <v>4500000</v>
      </c>
      <c r="M1532" s="136">
        <v>4500000</v>
      </c>
      <c r="N1532" s="136">
        <f>Tabla13[[#This Row],[TRIMESTRE  I]]+Tabla13[[#This Row],[TRIMESTRE II]]+Tabla13[[#This Row],[TRIMESTRE III]]+Tabla13[[#This Row],[TRIMESTRE IV]]</f>
        <v>18000000</v>
      </c>
      <c r="O1532" s="136" t="s">
        <v>7</v>
      </c>
      <c r="P1532" s="137">
        <v>45292</v>
      </c>
      <c r="Q1532" s="135" t="s">
        <v>782</v>
      </c>
    </row>
    <row r="1533" spans="2:17" ht="57" x14ac:dyDescent="0.2">
      <c r="B1533" s="138">
        <v>1001</v>
      </c>
      <c r="C1533" s="139" t="s">
        <v>779</v>
      </c>
      <c r="D1533" s="140">
        <v>537</v>
      </c>
      <c r="E1533" s="140" t="s">
        <v>780</v>
      </c>
      <c r="F1533" s="140" t="s">
        <v>781</v>
      </c>
      <c r="G1533" s="140" t="s">
        <v>458</v>
      </c>
      <c r="H1533" s="141">
        <v>338000</v>
      </c>
      <c r="I1533" s="141" t="s">
        <v>792</v>
      </c>
      <c r="J1533" s="142">
        <v>675000</v>
      </c>
      <c r="K1533" s="142">
        <v>675000</v>
      </c>
      <c r="L1533" s="142">
        <v>675000</v>
      </c>
      <c r="M1533" s="142">
        <v>675000</v>
      </c>
      <c r="N1533" s="136">
        <f>Tabla13[[#This Row],[TRIMESTRE  I]]+Tabla13[[#This Row],[TRIMESTRE II]]+Tabla13[[#This Row],[TRIMESTRE III]]+Tabla13[[#This Row],[TRIMESTRE IV]]</f>
        <v>2700000</v>
      </c>
      <c r="O1533" s="142" t="s">
        <v>6</v>
      </c>
      <c r="P1533" s="143">
        <v>45292</v>
      </c>
      <c r="Q1533" s="141" t="s">
        <v>782</v>
      </c>
    </row>
    <row r="1534" spans="2:17" ht="57" x14ac:dyDescent="0.2">
      <c r="B1534" s="132">
        <v>1001</v>
      </c>
      <c r="C1534" s="133" t="s">
        <v>779</v>
      </c>
      <c r="D1534" s="134">
        <v>537</v>
      </c>
      <c r="E1534" s="134" t="s">
        <v>780</v>
      </c>
      <c r="F1534" s="134" t="s">
        <v>781</v>
      </c>
      <c r="G1534" s="134" t="s">
        <v>458</v>
      </c>
      <c r="H1534" s="135">
        <v>338001</v>
      </c>
      <c r="I1534" s="135" t="s">
        <v>647</v>
      </c>
      <c r="J1534" s="136">
        <v>75000</v>
      </c>
      <c r="K1534" s="136">
        <v>75000</v>
      </c>
      <c r="L1534" s="136">
        <v>75000</v>
      </c>
      <c r="M1534" s="136">
        <v>75000</v>
      </c>
      <c r="N1534" s="136">
        <f>Tabla13[[#This Row],[TRIMESTRE  I]]+Tabla13[[#This Row],[TRIMESTRE II]]+Tabla13[[#This Row],[TRIMESTRE III]]+Tabla13[[#This Row],[TRIMESTRE IV]]</f>
        <v>300000</v>
      </c>
      <c r="O1534" s="136" t="s">
        <v>6</v>
      </c>
      <c r="P1534" s="137">
        <v>45292</v>
      </c>
      <c r="Q1534" s="135" t="s">
        <v>782</v>
      </c>
    </row>
    <row r="1535" spans="2:17" ht="57" x14ac:dyDescent="0.2">
      <c r="B1535" s="138">
        <v>1001</v>
      </c>
      <c r="C1535" s="139" t="s">
        <v>779</v>
      </c>
      <c r="D1535" s="140">
        <v>537</v>
      </c>
      <c r="E1535" s="140" t="s">
        <v>780</v>
      </c>
      <c r="F1535" s="140" t="s">
        <v>781</v>
      </c>
      <c r="G1535" s="140" t="s">
        <v>458</v>
      </c>
      <c r="H1535" s="141">
        <v>345000</v>
      </c>
      <c r="I1535" s="141" t="s">
        <v>793</v>
      </c>
      <c r="J1535" s="142">
        <v>625000</v>
      </c>
      <c r="K1535" s="142">
        <v>625000</v>
      </c>
      <c r="L1535" s="142">
        <v>625000</v>
      </c>
      <c r="M1535" s="142">
        <v>625000</v>
      </c>
      <c r="N1535" s="136">
        <f>Tabla13[[#This Row],[TRIMESTRE  I]]+Tabla13[[#This Row],[TRIMESTRE II]]+Tabla13[[#This Row],[TRIMESTRE III]]+Tabla13[[#This Row],[TRIMESTRE IV]]</f>
        <v>2500000</v>
      </c>
      <c r="O1535" s="142" t="s">
        <v>6</v>
      </c>
      <c r="P1535" s="143">
        <v>45292</v>
      </c>
      <c r="Q1535" s="141" t="s">
        <v>782</v>
      </c>
    </row>
    <row r="1536" spans="2:17" ht="57" x14ac:dyDescent="0.2">
      <c r="B1536" s="132">
        <v>1001</v>
      </c>
      <c r="C1536" s="133" t="s">
        <v>779</v>
      </c>
      <c r="D1536" s="134">
        <v>530</v>
      </c>
      <c r="E1536" s="134" t="s">
        <v>787</v>
      </c>
      <c r="F1536" s="134" t="s">
        <v>781</v>
      </c>
      <c r="G1536" s="134" t="s">
        <v>458</v>
      </c>
      <c r="H1536" s="135">
        <v>352001</v>
      </c>
      <c r="I1536" s="135" t="s">
        <v>595</v>
      </c>
      <c r="J1536" s="136">
        <v>100000</v>
      </c>
      <c r="K1536" s="136">
        <v>100000</v>
      </c>
      <c r="L1536" s="136">
        <v>100000</v>
      </c>
      <c r="M1536" s="136">
        <v>100000</v>
      </c>
      <c r="N1536" s="136">
        <f>Tabla13[[#This Row],[TRIMESTRE  I]]+Tabla13[[#This Row],[TRIMESTRE II]]+Tabla13[[#This Row],[TRIMESTRE III]]+Tabla13[[#This Row],[TRIMESTRE IV]]</f>
        <v>400000</v>
      </c>
      <c r="O1536" s="136" t="s">
        <v>6</v>
      </c>
      <c r="P1536" s="137">
        <v>45292</v>
      </c>
      <c r="Q1536" s="135" t="s">
        <v>782</v>
      </c>
    </row>
    <row r="1537" spans="2:17" ht="57" x14ac:dyDescent="0.2">
      <c r="B1537" s="138">
        <v>1001</v>
      </c>
      <c r="C1537" s="139" t="s">
        <v>779</v>
      </c>
      <c r="D1537" s="140">
        <v>537</v>
      </c>
      <c r="E1537" s="140" t="s">
        <v>780</v>
      </c>
      <c r="F1537" s="140" t="s">
        <v>781</v>
      </c>
      <c r="G1537" s="140" t="s">
        <v>458</v>
      </c>
      <c r="H1537" s="141">
        <v>355001</v>
      </c>
      <c r="I1537" s="141" t="s">
        <v>596</v>
      </c>
      <c r="J1537" s="142">
        <v>1000000</v>
      </c>
      <c r="K1537" s="142">
        <v>1000000</v>
      </c>
      <c r="L1537" s="142">
        <v>1000000</v>
      </c>
      <c r="M1537" s="142">
        <v>1000000</v>
      </c>
      <c r="N1537" s="136">
        <f>Tabla13[[#This Row],[TRIMESTRE  I]]+Tabla13[[#This Row],[TRIMESTRE II]]+Tabla13[[#This Row],[TRIMESTRE III]]+Tabla13[[#This Row],[TRIMESTRE IV]]</f>
        <v>4000000</v>
      </c>
      <c r="O1537" s="142" t="s">
        <v>6</v>
      </c>
      <c r="P1537" s="143">
        <v>45292</v>
      </c>
      <c r="Q1537" s="141" t="s">
        <v>782</v>
      </c>
    </row>
    <row r="1538" spans="2:17" ht="57" x14ac:dyDescent="0.2">
      <c r="B1538" s="132">
        <v>1001</v>
      </c>
      <c r="C1538" s="133" t="s">
        <v>779</v>
      </c>
      <c r="D1538" s="134">
        <v>537</v>
      </c>
      <c r="E1538" s="134" t="s">
        <v>780</v>
      </c>
      <c r="F1538" s="134" t="s">
        <v>781</v>
      </c>
      <c r="G1538" s="134" t="s">
        <v>458</v>
      </c>
      <c r="H1538" s="135">
        <v>357000</v>
      </c>
      <c r="I1538" s="135" t="s">
        <v>794</v>
      </c>
      <c r="J1538" s="136">
        <v>175000</v>
      </c>
      <c r="K1538" s="136">
        <v>175000</v>
      </c>
      <c r="L1538" s="136">
        <v>175000</v>
      </c>
      <c r="M1538" s="136">
        <v>175000</v>
      </c>
      <c r="N1538" s="136">
        <f>Tabla13[[#This Row],[TRIMESTRE  I]]+Tabla13[[#This Row],[TRIMESTRE II]]+Tabla13[[#This Row],[TRIMESTRE III]]+Tabla13[[#This Row],[TRIMESTRE IV]]</f>
        <v>700000</v>
      </c>
      <c r="O1538" s="136" t="s">
        <v>6</v>
      </c>
      <c r="P1538" s="137">
        <v>45292</v>
      </c>
      <c r="Q1538" s="135" t="s">
        <v>782</v>
      </c>
    </row>
    <row r="1539" spans="2:17" ht="57" x14ac:dyDescent="0.2">
      <c r="B1539" s="138">
        <v>1001</v>
      </c>
      <c r="C1539" s="139" t="s">
        <v>779</v>
      </c>
      <c r="D1539" s="140">
        <v>537</v>
      </c>
      <c r="E1539" s="140" t="s">
        <v>780</v>
      </c>
      <c r="F1539" s="140" t="s">
        <v>781</v>
      </c>
      <c r="G1539" s="140" t="s">
        <v>458</v>
      </c>
      <c r="H1539" s="141">
        <v>357000</v>
      </c>
      <c r="I1539" s="141" t="s">
        <v>794</v>
      </c>
      <c r="J1539" s="142">
        <v>1250000</v>
      </c>
      <c r="K1539" s="142">
        <v>1250000</v>
      </c>
      <c r="L1539" s="142">
        <v>1250000</v>
      </c>
      <c r="M1539" s="142">
        <v>1250000</v>
      </c>
      <c r="N1539" s="136">
        <f>Tabla13[[#This Row],[TRIMESTRE  I]]+Tabla13[[#This Row],[TRIMESTRE II]]+Tabla13[[#This Row],[TRIMESTRE III]]+Tabla13[[#This Row],[TRIMESTRE IV]]</f>
        <v>5000000</v>
      </c>
      <c r="O1539" s="142" t="s">
        <v>7</v>
      </c>
      <c r="P1539" s="143">
        <v>45292</v>
      </c>
      <c r="Q1539" s="141" t="s">
        <v>782</v>
      </c>
    </row>
    <row r="1540" spans="2:17" ht="57" x14ac:dyDescent="0.2">
      <c r="B1540" s="132">
        <v>1001</v>
      </c>
      <c r="C1540" s="133" t="s">
        <v>779</v>
      </c>
      <c r="D1540" s="134">
        <v>537</v>
      </c>
      <c r="E1540" s="134" t="s">
        <v>780</v>
      </c>
      <c r="F1540" s="134" t="s">
        <v>781</v>
      </c>
      <c r="G1540" s="134" t="s">
        <v>458</v>
      </c>
      <c r="H1540" s="135">
        <v>357000</v>
      </c>
      <c r="I1540" s="135" t="s">
        <v>794</v>
      </c>
      <c r="J1540" s="136">
        <v>100000</v>
      </c>
      <c r="K1540" s="136">
        <v>100000</v>
      </c>
      <c r="L1540" s="136">
        <v>100000</v>
      </c>
      <c r="M1540" s="136">
        <v>100000</v>
      </c>
      <c r="N1540" s="136">
        <f>Tabla13[[#This Row],[TRIMESTRE  I]]+Tabla13[[#This Row],[TRIMESTRE II]]+Tabla13[[#This Row],[TRIMESTRE III]]+Tabla13[[#This Row],[TRIMESTRE IV]]</f>
        <v>400000</v>
      </c>
      <c r="O1540" s="136" t="s">
        <v>7</v>
      </c>
      <c r="P1540" s="137">
        <v>45292</v>
      </c>
      <c r="Q1540" s="135" t="s">
        <v>782</v>
      </c>
    </row>
    <row r="1541" spans="2:17" ht="57" x14ac:dyDescent="0.2">
      <c r="B1541" s="138">
        <v>1001</v>
      </c>
      <c r="C1541" s="139" t="s">
        <v>779</v>
      </c>
      <c r="D1541" s="140">
        <v>573</v>
      </c>
      <c r="E1541" s="140" t="s">
        <v>780</v>
      </c>
      <c r="F1541" s="140" t="s">
        <v>781</v>
      </c>
      <c r="G1541" s="140" t="s">
        <v>458</v>
      </c>
      <c r="H1541" s="141">
        <v>358000</v>
      </c>
      <c r="I1541" s="141" t="s">
        <v>795</v>
      </c>
      <c r="J1541" s="142">
        <v>750000</v>
      </c>
      <c r="K1541" s="142">
        <v>750000</v>
      </c>
      <c r="L1541" s="142">
        <v>750000</v>
      </c>
      <c r="M1541" s="142">
        <v>750000</v>
      </c>
      <c r="N1541" s="136">
        <f>Tabla13[[#This Row],[TRIMESTRE  I]]+Tabla13[[#This Row],[TRIMESTRE II]]+Tabla13[[#This Row],[TRIMESTRE III]]+Tabla13[[#This Row],[TRIMESTRE IV]]</f>
        <v>3000000</v>
      </c>
      <c r="O1541" s="142" t="s">
        <v>7</v>
      </c>
      <c r="P1541" s="143">
        <v>45292</v>
      </c>
      <c r="Q1541" s="141" t="s">
        <v>782</v>
      </c>
    </row>
    <row r="1542" spans="2:17" ht="57" x14ac:dyDescent="0.2">
      <c r="B1542" s="132">
        <v>1001</v>
      </c>
      <c r="C1542" s="133" t="s">
        <v>779</v>
      </c>
      <c r="D1542" s="134">
        <v>537</v>
      </c>
      <c r="E1542" s="134" t="s">
        <v>780</v>
      </c>
      <c r="F1542" s="134" t="s">
        <v>781</v>
      </c>
      <c r="G1542" s="134" t="s">
        <v>458</v>
      </c>
      <c r="H1542" s="135">
        <v>358000</v>
      </c>
      <c r="I1542" s="135" t="s">
        <v>795</v>
      </c>
      <c r="J1542" s="136">
        <v>7000000</v>
      </c>
      <c r="K1542" s="136">
        <v>7000000</v>
      </c>
      <c r="L1542" s="136">
        <v>7000000</v>
      </c>
      <c r="M1542" s="136">
        <v>7000000</v>
      </c>
      <c r="N1542" s="136">
        <f>Tabla13[[#This Row],[TRIMESTRE  I]]+Tabla13[[#This Row],[TRIMESTRE II]]+Tabla13[[#This Row],[TRIMESTRE III]]+Tabla13[[#This Row],[TRIMESTRE IV]]</f>
        <v>28000000</v>
      </c>
      <c r="O1542" s="136" t="s">
        <v>7</v>
      </c>
      <c r="P1542" s="137">
        <v>45292</v>
      </c>
      <c r="Q1542" s="135" t="s">
        <v>782</v>
      </c>
    </row>
    <row r="1543" spans="2:17" ht="57" x14ac:dyDescent="0.2">
      <c r="B1543" s="138">
        <v>1001</v>
      </c>
      <c r="C1543" s="139" t="s">
        <v>779</v>
      </c>
      <c r="D1543" s="140">
        <v>530</v>
      </c>
      <c r="E1543" s="140" t="s">
        <v>787</v>
      </c>
      <c r="F1543" s="140" t="s">
        <v>781</v>
      </c>
      <c r="G1543" s="140" t="s">
        <v>458</v>
      </c>
      <c r="H1543" s="141">
        <v>359000</v>
      </c>
      <c r="I1543" s="141" t="s">
        <v>648</v>
      </c>
      <c r="J1543" s="142">
        <v>375000</v>
      </c>
      <c r="K1543" s="142">
        <v>375000</v>
      </c>
      <c r="L1543" s="142">
        <v>375000</v>
      </c>
      <c r="M1543" s="142">
        <v>375000</v>
      </c>
      <c r="N1543" s="136">
        <f>Tabla13[[#This Row],[TRIMESTRE  I]]+Tabla13[[#This Row],[TRIMESTRE II]]+Tabla13[[#This Row],[TRIMESTRE III]]+Tabla13[[#This Row],[TRIMESTRE IV]]</f>
        <v>1500000</v>
      </c>
      <c r="O1543" s="142" t="s">
        <v>7</v>
      </c>
      <c r="P1543" s="143">
        <v>45292</v>
      </c>
      <c r="Q1543" s="141" t="s">
        <v>782</v>
      </c>
    </row>
    <row r="1544" spans="2:17" ht="57" x14ac:dyDescent="0.2">
      <c r="B1544" s="132">
        <v>1001</v>
      </c>
      <c r="C1544" s="133" t="s">
        <v>779</v>
      </c>
      <c r="D1544" s="134">
        <v>573</v>
      </c>
      <c r="E1544" s="134" t="s">
        <v>780</v>
      </c>
      <c r="F1544" s="134" t="s">
        <v>781</v>
      </c>
      <c r="G1544" s="134" t="s">
        <v>458</v>
      </c>
      <c r="H1544" s="135">
        <v>339000</v>
      </c>
      <c r="I1544" s="135" t="s">
        <v>796</v>
      </c>
      <c r="J1544" s="136">
        <v>19500000</v>
      </c>
      <c r="K1544" s="136">
        <v>19500000</v>
      </c>
      <c r="L1544" s="136">
        <v>19500000</v>
      </c>
      <c r="M1544" s="136">
        <v>19500000</v>
      </c>
      <c r="N1544" s="136">
        <f>Tabla13[[#This Row],[TRIMESTRE  I]]+Tabla13[[#This Row],[TRIMESTRE II]]+Tabla13[[#This Row],[TRIMESTRE III]]+Tabla13[[#This Row],[TRIMESTRE IV]]</f>
        <v>78000000</v>
      </c>
      <c r="O1544" s="136" t="s">
        <v>7</v>
      </c>
      <c r="P1544" s="137">
        <v>45292</v>
      </c>
      <c r="Q1544" s="135" t="s">
        <v>782</v>
      </c>
    </row>
    <row r="1545" spans="2:17" ht="57" x14ac:dyDescent="0.2">
      <c r="B1545" s="138">
        <v>1001</v>
      </c>
      <c r="C1545" s="139" t="s">
        <v>779</v>
      </c>
      <c r="D1545" s="140">
        <v>573</v>
      </c>
      <c r="E1545" s="140" t="s">
        <v>780</v>
      </c>
      <c r="F1545" s="140" t="s">
        <v>781</v>
      </c>
      <c r="G1545" s="140" t="s">
        <v>461</v>
      </c>
      <c r="H1545" s="141">
        <v>254000</v>
      </c>
      <c r="I1545" s="141" t="s">
        <v>797</v>
      </c>
      <c r="J1545" s="142">
        <v>18250000</v>
      </c>
      <c r="K1545" s="142">
        <v>18250000</v>
      </c>
      <c r="L1545" s="142">
        <v>18250000</v>
      </c>
      <c r="M1545" s="142">
        <v>18250000</v>
      </c>
      <c r="N1545" s="136">
        <f>Tabla13[[#This Row],[TRIMESTRE  I]]+Tabla13[[#This Row],[TRIMESTRE II]]+Tabla13[[#This Row],[TRIMESTRE III]]+Tabla13[[#This Row],[TRIMESTRE IV]]</f>
        <v>73000000</v>
      </c>
      <c r="O1545" s="142" t="s">
        <v>7</v>
      </c>
      <c r="P1545" s="143">
        <v>45292</v>
      </c>
      <c r="Q1545" s="141" t="s">
        <v>782</v>
      </c>
    </row>
    <row r="1546" spans="2:17" ht="57" x14ac:dyDescent="0.2">
      <c r="B1546" s="132">
        <v>1001</v>
      </c>
      <c r="C1546" s="133" t="s">
        <v>779</v>
      </c>
      <c r="D1546" s="134">
        <v>530</v>
      </c>
      <c r="E1546" s="134" t="s">
        <v>787</v>
      </c>
      <c r="F1546" s="134" t="s">
        <v>781</v>
      </c>
      <c r="G1546" s="134" t="s">
        <v>461</v>
      </c>
      <c r="H1546" s="135">
        <v>253000</v>
      </c>
      <c r="I1546" s="145" t="s">
        <v>784</v>
      </c>
      <c r="J1546" s="136">
        <v>13250000</v>
      </c>
      <c r="K1546" s="136">
        <v>13250000</v>
      </c>
      <c r="L1546" s="136">
        <v>13250000</v>
      </c>
      <c r="M1546" s="136">
        <v>13250000</v>
      </c>
      <c r="N1546" s="136">
        <f>Tabla13[[#This Row],[TRIMESTRE  I]]+Tabla13[[#This Row],[TRIMESTRE II]]+Tabla13[[#This Row],[TRIMESTRE III]]+Tabla13[[#This Row],[TRIMESTRE IV]]</f>
        <v>53000000</v>
      </c>
      <c r="O1546" s="136" t="s">
        <v>7</v>
      </c>
      <c r="P1546" s="137">
        <v>45292</v>
      </c>
      <c r="Q1546" s="135" t="s">
        <v>782</v>
      </c>
    </row>
    <row r="1547" spans="2:17" ht="57" x14ac:dyDescent="0.2">
      <c r="B1547" s="138">
        <v>1001</v>
      </c>
      <c r="C1547" s="139" t="s">
        <v>779</v>
      </c>
      <c r="D1547" s="140">
        <v>537</v>
      </c>
      <c r="E1547" s="140" t="s">
        <v>780</v>
      </c>
      <c r="F1547" s="140" t="s">
        <v>781</v>
      </c>
      <c r="G1547" s="140" t="s">
        <v>458</v>
      </c>
      <c r="H1547" s="141">
        <v>371001</v>
      </c>
      <c r="I1547" s="141" t="s">
        <v>798</v>
      </c>
      <c r="J1547" s="142">
        <v>575000</v>
      </c>
      <c r="K1547" s="142">
        <v>575000</v>
      </c>
      <c r="L1547" s="142">
        <v>575000</v>
      </c>
      <c r="M1547" s="142">
        <v>575000</v>
      </c>
      <c r="N1547" s="136">
        <f>Tabla13[[#This Row],[TRIMESTRE  I]]+Tabla13[[#This Row],[TRIMESTRE II]]+Tabla13[[#This Row],[TRIMESTRE III]]+Tabla13[[#This Row],[TRIMESTRE IV]]</f>
        <v>2300000</v>
      </c>
      <c r="O1547" s="142" t="s">
        <v>7</v>
      </c>
      <c r="P1547" s="143">
        <v>45292</v>
      </c>
      <c r="Q1547" s="141" t="s">
        <v>782</v>
      </c>
    </row>
    <row r="1548" spans="2:17" ht="57.75" thickBot="1" x14ac:dyDescent="0.25">
      <c r="B1548" s="132">
        <v>1001</v>
      </c>
      <c r="C1548" s="133" t="s">
        <v>779</v>
      </c>
      <c r="D1548" s="134">
        <v>530</v>
      </c>
      <c r="E1548" s="134" t="s">
        <v>787</v>
      </c>
      <c r="F1548" s="134" t="s">
        <v>781</v>
      </c>
      <c r="G1548" s="134" t="s">
        <v>458</v>
      </c>
      <c r="H1548" s="135">
        <v>392001</v>
      </c>
      <c r="I1548" s="135" t="s">
        <v>799</v>
      </c>
      <c r="J1548" s="136">
        <v>575000</v>
      </c>
      <c r="K1548" s="136">
        <v>575000</v>
      </c>
      <c r="L1548" s="136">
        <v>575000</v>
      </c>
      <c r="M1548" s="136">
        <v>575000</v>
      </c>
      <c r="N1548" s="136">
        <f>Tabla13[[#This Row],[TRIMESTRE  I]]+Tabla13[[#This Row],[TRIMESTRE II]]+Tabla13[[#This Row],[TRIMESTRE III]]+Tabla13[[#This Row],[TRIMESTRE IV]]</f>
        <v>2300000</v>
      </c>
      <c r="O1548" s="136" t="s">
        <v>6</v>
      </c>
      <c r="P1548" s="137">
        <v>45292</v>
      </c>
      <c r="Q1548" s="135" t="s">
        <v>782</v>
      </c>
    </row>
    <row r="1549" spans="2:17" ht="15" thickTop="1" x14ac:dyDescent="0.2">
      <c r="B1549" s="146"/>
      <c r="C1549" s="147"/>
      <c r="D1549" s="146"/>
      <c r="E1549" s="146"/>
      <c r="F1549" s="146"/>
      <c r="G1549" s="146"/>
      <c r="H1549" s="148"/>
      <c r="I1549" s="148"/>
      <c r="J1549" s="149"/>
      <c r="K1549" s="149"/>
      <c r="L1549" s="149"/>
      <c r="M1549" s="149"/>
      <c r="N1549" s="149">
        <f>SUM(N1514:N1548)</f>
        <v>435500000</v>
      </c>
      <c r="O1549" s="149"/>
      <c r="P1549" s="150"/>
      <c r="Q1549" s="148"/>
    </row>
  </sheetData>
  <protectedRanges>
    <protectedRange algorithmName="SHA-512" hashValue="Lst7hsT/mUUQvFsOUalIdMZhSjExDj/C7u4r1gIjHREwBj16N7lqODQ0CY6n+RXalo774Zm4aYZKVBS0n4XIeg==" saltValue="KfnRR/cqfK967zBK52Zr6A==" spinCount="100000" sqref="B191:D192" name="EDITABLE 1_4_5"/>
    <protectedRange algorithmName="SHA-512" hashValue="pJNw8ysPJcfMEDlzTgza0siiHuU4FkUpIzbuTX325DFaYD5nL5ng0z0JoIGpE+CYch2hq/LccMqSM51MpHojPQ==" saltValue="xv9nj4u85CXs/Kmy5tmlKw==" spinCount="100000" sqref="F193:H193" name="EDITABLE 2_4_6"/>
    <protectedRange algorithmName="SHA-512" hashValue="Lst7hsT/mUUQvFsOUalIdMZhSjExDj/C7u4r1gIjHREwBj16N7lqODQ0CY6n+RXalo774Zm4aYZKVBS0n4XIeg==" saltValue="KfnRR/cqfK967zBK52Zr6A==" spinCount="100000" sqref="B193:D193" name="EDITABLE 1_4_6"/>
    <protectedRange algorithmName="SHA-512" hashValue="CVDb5J/0TlFD03lqit9XaA7LbCMGvWLCsduA3v8dImZEGhWfzgZ6Dg6bkjbAbJm1bYAcMLcpovU/dJmuMze5jw==" saltValue="QZ4X9aU2cO4/tAPW6011Dw==" spinCount="100000" sqref="Q213:Q218" name="EDITABLE 4_1_1"/>
    <protectedRange algorithmName="SHA-512" hashValue="CVDb5J/0TlFD03lqit9XaA7LbCMGvWLCsduA3v8dImZEGhWfzgZ6Dg6bkjbAbJm1bYAcMLcpovU/dJmuMze5jw==" saltValue="QZ4X9aU2cO4/tAPW6011Dw==" spinCount="100000" sqref="Q225 Q228:Q230" name="EDITABLE 4_5"/>
    <protectedRange algorithmName="SHA-512" hashValue="Lst7hsT/mUUQvFsOUalIdMZhSjExDj/C7u4r1gIjHREwBj16N7lqODQ0CY6n+RXalo774Zm4aYZKVBS0n4XIeg==" saltValue="KfnRR/cqfK967zBK52Zr6A==" spinCount="100000" sqref="B239:D259" name="EDITABLE 1_1"/>
    <protectedRange algorithmName="SHA-512" hashValue="pJNw8ysPJcfMEDlzTgza0siiHuU4FkUpIzbuTX325DFaYD5nL5ng0z0JoIGpE+CYch2hq/LccMqSM51MpHojPQ==" saltValue="xv9nj4u85CXs/Kmy5tmlKw==" spinCount="100000" sqref="F239:H259" name="EDITABLE 2_2"/>
    <protectedRange algorithmName="SHA-512" hashValue="ytsoXFfC1+WmXVaa1/e6XfcZ7vPjNmSnuZe33NqN4NcqbRxNJdzSGuklMRpskJNPYNNz1yZQe585JE4aSLisOg==" saltValue="/jSLFmNX0mB2vn2qhSJbtw==" spinCount="100000" sqref="J239:M259" name="EDITABLE 3_2"/>
    <protectedRange algorithmName="SHA-512" hashValue="CVDb5J/0TlFD03lqit9XaA7LbCMGvWLCsduA3v8dImZEGhWfzgZ6Dg6bkjbAbJm1bYAcMLcpovU/dJmuMze5jw==" saltValue="QZ4X9aU2cO4/tAPW6011Dw==" spinCount="100000" sqref="O239:Q259" name="EDITABLE 4_2"/>
    <protectedRange algorithmName="SHA-512" hashValue="Lst7hsT/mUUQvFsOUalIdMZhSjExDj/C7u4r1gIjHREwBj16N7lqODQ0CY6n+RXalo774Zm4aYZKVBS0n4XIeg==" saltValue="KfnRR/cqfK967zBK52Zr6A==" spinCount="100000" sqref="B264:D599" name="EDITABLE 1_2"/>
    <protectedRange algorithmName="SHA-512" hashValue="pJNw8ysPJcfMEDlzTgza0siiHuU4FkUpIzbuTX325DFaYD5nL5ng0z0JoIGpE+CYch2hq/LccMqSM51MpHojPQ==" saltValue="xv9nj4u85CXs/Kmy5tmlKw==" spinCount="100000" sqref="G422:H424 F425:H435 G436:H462 G493:H599 F463:H492 F264:H421" name="EDITABLE 2_3"/>
    <protectedRange algorithmName="SHA-512" hashValue="CVDb5J/0TlFD03lqit9XaA7LbCMGvWLCsduA3v8dImZEGhWfzgZ6Dg6bkjbAbJm1bYAcMLcpovU/dJmuMze5jw==" saltValue="QZ4X9aU2cO4/tAPW6011Dw==" spinCount="100000" sqref="O264:Q599" name="EDITABLE 4_3"/>
    <protectedRange algorithmName="SHA-512" hashValue="pJNw8ysPJcfMEDlzTgza0siiHuU4FkUpIzbuTX325DFaYD5nL5ng0z0JoIGpE+CYch2hq/LccMqSM51MpHojPQ==" saltValue="xv9nj4u85CXs/Kmy5tmlKw==" spinCount="100000" sqref="F422:F424" name="EDITABLE 2_1_1"/>
    <protectedRange algorithmName="SHA-512" hashValue="pJNw8ysPJcfMEDlzTgza0siiHuU4FkUpIzbuTX325DFaYD5nL5ng0z0JoIGpE+CYch2hq/LccMqSM51MpHojPQ==" saltValue="xv9nj4u85CXs/Kmy5tmlKw==" spinCount="100000" sqref="F436:F448" name="EDITABLE 2_2_2"/>
    <protectedRange algorithmName="SHA-512" hashValue="pJNw8ysPJcfMEDlzTgza0siiHuU4FkUpIzbuTX325DFaYD5nL5ng0z0JoIGpE+CYch2hq/LccMqSM51MpHojPQ==" saltValue="xv9nj4u85CXs/Kmy5tmlKw==" spinCount="100000" sqref="F449" name="EDITABLE 2_4"/>
    <protectedRange algorithmName="SHA-512" hashValue="pJNw8ysPJcfMEDlzTgza0siiHuU4FkUpIzbuTX325DFaYD5nL5ng0z0JoIGpE+CYch2hq/LccMqSM51MpHojPQ==" saltValue="xv9nj4u85CXs/Kmy5tmlKw==" spinCount="100000" sqref="F450:F462" name="EDITABLE 2_5"/>
    <protectedRange algorithmName="SHA-512" hashValue="pJNw8ysPJcfMEDlzTgza0siiHuU4FkUpIzbuTX325DFaYD5nL5ng0z0JoIGpE+CYch2hq/LccMqSM51MpHojPQ==" saltValue="xv9nj4u85CXs/Kmy5tmlKw==" spinCount="100000" sqref="F493:F512" name="EDITABLE 2_6"/>
    <protectedRange algorithmName="SHA-512" hashValue="pJNw8ysPJcfMEDlzTgza0siiHuU4FkUpIzbuTX325DFaYD5nL5ng0z0JoIGpE+CYch2hq/LccMqSM51MpHojPQ==" saltValue="xv9nj4u85CXs/Kmy5tmlKw==" spinCount="100000" sqref="F513:F522" name="EDITABLE 2_7"/>
    <protectedRange algorithmName="SHA-512" hashValue="pJNw8ysPJcfMEDlzTgza0siiHuU4FkUpIzbuTX325DFaYD5nL5ng0z0JoIGpE+CYch2hq/LccMqSM51MpHojPQ==" saltValue="xv9nj4u85CXs/Kmy5tmlKw==" spinCount="100000" sqref="F523:F569" name="EDITABLE 2_8"/>
    <protectedRange algorithmName="SHA-512" hashValue="pJNw8ysPJcfMEDlzTgza0siiHuU4FkUpIzbuTX325DFaYD5nL5ng0z0JoIGpE+CYch2hq/LccMqSM51MpHojPQ==" saltValue="xv9nj4u85CXs/Kmy5tmlKw==" spinCount="100000" sqref="F570:F599" name="EDITABLE 2_9"/>
    <protectedRange algorithmName="SHA-512" hashValue="Lst7hsT/mUUQvFsOUalIdMZhSjExDj/C7u4r1gIjHREwBj16N7lqODQ0CY6n+RXalo774Zm4aYZKVBS0n4XIeg==" saltValue="KfnRR/cqfK967zBK52Zr6A==" spinCount="100000" sqref="B600:D874 B928:D929" name="EDITABLE 1_3"/>
    <protectedRange algorithmName="SHA-512" hashValue="pJNw8ysPJcfMEDlzTgza0siiHuU4FkUpIzbuTX325DFaYD5nL5ng0z0JoIGpE+CYch2hq/LccMqSM51MpHojPQ==" saltValue="xv9nj4u85CXs/Kmy5tmlKw==" spinCount="100000" sqref="F627:F629 F600:H626 F659:F664 G627:H664 F665:H692 F693:F700 F752 G693:H874 G928:H929" name="EDITABLE 2_10"/>
    <protectedRange algorithmName="SHA-512" hashValue="CVDb5J/0TlFD03lqit9XaA7LbCMGvWLCsduA3v8dImZEGhWfzgZ6Dg6bkjbAbJm1bYAcMLcpovU/dJmuMze5jw==" saltValue="QZ4X9aU2cO4/tAPW6011Dw==" spinCount="100000" sqref="O601:Q874 O928:Q929" name="EDITABLE 4_4"/>
    <protectedRange algorithmName="SHA-512" hashValue="pJNw8ysPJcfMEDlzTgza0siiHuU4FkUpIzbuTX325DFaYD5nL5ng0z0JoIGpE+CYch2hq/LccMqSM51MpHojPQ==" saltValue="xv9nj4u85CXs/Kmy5tmlKw==" spinCount="100000" sqref="F630:F648" name="EDITABLE 2_10_1"/>
    <protectedRange algorithmName="SHA-512" hashValue="pJNw8ysPJcfMEDlzTgza0siiHuU4FkUpIzbuTX325DFaYD5nL5ng0z0JoIGpE+CYch2hq/LccMqSM51MpHojPQ==" saltValue="xv9nj4u85CXs/Kmy5tmlKw==" spinCount="100000" sqref="F649:F657" name="EDITABLE 2_11"/>
    <protectedRange algorithmName="SHA-512" hashValue="pJNw8ysPJcfMEDlzTgza0siiHuU4FkUpIzbuTX325DFaYD5nL5ng0z0JoIGpE+CYch2hq/LccMqSM51MpHojPQ==" saltValue="xv9nj4u85CXs/Kmy5tmlKw==" spinCount="100000" sqref="F658" name="EDITABLE 2_1_1_1"/>
    <protectedRange algorithmName="SHA-512" hashValue="pJNw8ysPJcfMEDlzTgza0siiHuU4FkUpIzbuTX325DFaYD5nL5ng0z0JoIGpE+CYch2hq/LccMqSM51MpHojPQ==" saltValue="xv9nj4u85CXs/Kmy5tmlKw==" spinCount="100000" sqref="F701:F718" name="EDITABLE 2_23"/>
    <protectedRange algorithmName="SHA-512" hashValue="pJNw8ysPJcfMEDlzTgza0siiHuU4FkUpIzbuTX325DFaYD5nL5ng0z0JoIGpE+CYch2hq/LccMqSM51MpHojPQ==" saltValue="xv9nj4u85CXs/Kmy5tmlKw==" spinCount="100000" sqref="F719:F723" name="EDITABLE 2_24"/>
    <protectedRange algorithmName="SHA-512" hashValue="pJNw8ysPJcfMEDlzTgza0siiHuU4FkUpIzbuTX325DFaYD5nL5ng0z0JoIGpE+CYch2hq/LccMqSM51MpHojPQ==" saltValue="xv9nj4u85CXs/Kmy5tmlKw==" spinCount="100000" sqref="F724:F728" name="EDITABLE 2_25"/>
    <protectedRange algorithmName="SHA-512" hashValue="pJNw8ysPJcfMEDlzTgza0siiHuU4FkUpIzbuTX325DFaYD5nL5ng0z0JoIGpE+CYch2hq/LccMqSM51MpHojPQ==" saltValue="xv9nj4u85CXs/Kmy5tmlKw==" spinCount="100000" sqref="F729" name="EDITABLE 2_26"/>
    <protectedRange algorithmName="SHA-512" hashValue="pJNw8ysPJcfMEDlzTgza0siiHuU4FkUpIzbuTX325DFaYD5nL5ng0z0JoIGpE+CYch2hq/LccMqSM51MpHojPQ==" saltValue="xv9nj4u85CXs/Kmy5tmlKw==" spinCount="100000" sqref="F730:F738" name="EDITABLE 2_27"/>
    <protectedRange algorithmName="SHA-512" hashValue="pJNw8ysPJcfMEDlzTgza0siiHuU4FkUpIzbuTX325DFaYD5nL5ng0z0JoIGpE+CYch2hq/LccMqSM51MpHojPQ==" saltValue="xv9nj4u85CXs/Kmy5tmlKw==" spinCount="100000" sqref="F739:F751" name="EDITABLE 2_28"/>
    <protectedRange algorithmName="SHA-512" hashValue="pJNw8ysPJcfMEDlzTgza0siiHuU4FkUpIzbuTX325DFaYD5nL5ng0z0JoIGpE+CYch2hq/LccMqSM51MpHojPQ==" saltValue="xv9nj4u85CXs/Kmy5tmlKw==" spinCount="100000" sqref="F753:F765" name="EDITABLE 2_29"/>
    <protectedRange algorithmName="SHA-512" hashValue="pJNw8ysPJcfMEDlzTgza0siiHuU4FkUpIzbuTX325DFaYD5nL5ng0z0JoIGpE+CYch2hq/LccMqSM51MpHojPQ==" saltValue="xv9nj4u85CXs/Kmy5tmlKw==" spinCount="100000" sqref="F766:F778" name="EDITABLE 2_2_1_1"/>
    <protectedRange algorithmName="SHA-512" hashValue="pJNw8ysPJcfMEDlzTgza0siiHuU4FkUpIzbuTX325DFaYD5nL5ng0z0JoIGpE+CYch2hq/LccMqSM51MpHojPQ==" saltValue="xv9nj4u85CXs/Kmy5tmlKw==" spinCount="100000" sqref="F779:F791" name="EDITABLE 2_5_1"/>
    <protectedRange algorithmName="SHA-512" hashValue="pJNw8ysPJcfMEDlzTgza0siiHuU4FkUpIzbuTX325DFaYD5nL5ng0z0JoIGpE+CYch2hq/LccMqSM51MpHojPQ==" saltValue="xv9nj4u85CXs/Kmy5tmlKw==" spinCount="100000" sqref="F792:F819" name="EDITABLE 2_1_2"/>
    <protectedRange algorithmName="SHA-512" hashValue="pJNw8ysPJcfMEDlzTgza0siiHuU4FkUpIzbuTX325DFaYD5nL5ng0z0JoIGpE+CYch2hq/LccMqSM51MpHojPQ==" saltValue="xv9nj4u85CXs/Kmy5tmlKw==" spinCount="100000" sqref="F820:F843" name="EDITABLE 2_6_1"/>
    <protectedRange algorithmName="SHA-512" hashValue="pJNw8ysPJcfMEDlzTgza0siiHuU4FkUpIzbuTX325DFaYD5nL5ng0z0JoIGpE+CYch2hq/LccMqSM51MpHojPQ==" saltValue="xv9nj4u85CXs/Kmy5tmlKw==" spinCount="100000" sqref="F844:F850" name="EDITABLE 2_7_1"/>
    <protectedRange algorithmName="SHA-512" hashValue="pJNw8ysPJcfMEDlzTgza0siiHuU4FkUpIzbuTX325DFaYD5nL5ng0z0JoIGpE+CYch2hq/LccMqSM51MpHojPQ==" saltValue="xv9nj4u85CXs/Kmy5tmlKw==" spinCount="100000" sqref="F851:F860" name="EDITABLE 2_8_1"/>
    <protectedRange algorithmName="SHA-512" hashValue="pJNw8ysPJcfMEDlzTgza0siiHuU4FkUpIzbuTX325DFaYD5nL5ng0z0JoIGpE+CYch2hq/LccMqSM51MpHojPQ==" saltValue="xv9nj4u85CXs/Kmy5tmlKw==" spinCount="100000" sqref="F866:F871" name="EDITABLE 2_9_1"/>
    <protectedRange algorithmName="SHA-512" hashValue="pJNw8ysPJcfMEDlzTgza0siiHuU4FkUpIzbuTX325DFaYD5nL5ng0z0JoIGpE+CYch2hq/LccMqSM51MpHojPQ==" saltValue="xv9nj4u85CXs/Kmy5tmlKw==" spinCount="100000" sqref="F872:F874 F928:F929" name="EDITABLE 2_9_6"/>
    <protectedRange algorithmName="SHA-512" hashValue="CVDb5J/0TlFD03lqit9XaA7LbCMGvWLCsduA3v8dImZEGhWfzgZ6Dg6bkjbAbJm1bYAcMLcpovU/dJmuMze5jw==" saltValue="QZ4X9aU2cO4/tAPW6011Dw==" spinCount="100000" sqref="Q955 Q958 Q960:Q964 Q966:Q1013 O960:O1013" name="EDITABLE 4_6"/>
    <protectedRange algorithmName="SHA-512" hashValue="ytsoXFfC1+WmXVaa1/e6XfcZ7vPjNmSnuZe33NqN4NcqbRxNJdzSGuklMRpskJNPYNNz1yZQe585JE4aSLisOg==" saltValue="/jSLFmNX0mB2vn2qhSJbtw==" spinCount="100000" sqref="J1007:L1007 J960:M1006 J1008:M1013" name="EDITABLE 3_3"/>
    <protectedRange algorithmName="SHA-512" hashValue="pJNw8ysPJcfMEDlzTgza0siiHuU4FkUpIzbuTX325DFaYD5nL5ng0z0JoIGpE+CYch2hq/LccMqSM51MpHojPQ==" saltValue="xv9nj4u85CXs/Kmy5tmlKw==" spinCount="100000" sqref="F960:H1013" name="EDITABLE 2_12"/>
    <protectedRange algorithmName="SHA-512" hashValue="Lst7hsT/mUUQvFsOUalIdMZhSjExDj/C7u4r1gIjHREwBj16N7lqODQ0CY6n+RXalo774Zm4aYZKVBS0n4XIeg==" saltValue="KfnRR/cqfK967zBK52Zr6A==" spinCount="100000" sqref="B960:D1013" name="EDITABLE 1_4"/>
    <protectedRange algorithmName="SHA-512" hashValue="ytsoXFfC1+WmXVaa1/e6XfcZ7vPjNmSnuZe33NqN4NcqbRxNJdzSGuklMRpskJNPYNNz1yZQe585JE4aSLisOg==" saltValue="/jSLFmNX0mB2vn2qhSJbtw==" spinCount="100000" sqref="J934:M959 M1007" name="EDITABLE 3_1_1"/>
    <protectedRange algorithmName="SHA-512" hashValue="pJNw8ysPJcfMEDlzTgza0siiHuU4FkUpIzbuTX325DFaYD5nL5ng0z0JoIGpE+CYch2hq/LccMqSM51MpHojPQ==" saltValue="xv9nj4u85CXs/Kmy5tmlKw==" spinCount="100000" sqref="F934:H959" name="EDITABLE 2_1_3"/>
    <protectedRange algorithmName="SHA-512" hashValue="Lst7hsT/mUUQvFsOUalIdMZhSjExDj/C7u4r1gIjHREwBj16N7lqODQ0CY6n+RXalo774Zm4aYZKVBS0n4XIeg==" saltValue="KfnRR/cqfK967zBK52Zr6A==" spinCount="100000" sqref="B934:D959" name="EDITABLE 1_1_1"/>
    <protectedRange algorithmName="SHA-512" hashValue="CVDb5J/0TlFD03lqit9XaA7LbCMGvWLCsduA3v8dImZEGhWfzgZ6Dg6bkjbAbJm1bYAcMLcpovU/dJmuMze5jw==" saltValue="QZ4X9aU2cO4/tAPW6011Dw==" spinCount="100000" sqref="O1018:Q1033" name="EDITABLE 4_7"/>
    <protectedRange algorithmName="SHA-512" hashValue="ytsoXFfC1+WmXVaa1/e6XfcZ7vPjNmSnuZe33NqN4NcqbRxNJdzSGuklMRpskJNPYNNz1yZQe585JE4aSLisOg==" saltValue="/jSLFmNX0mB2vn2qhSJbtw==" spinCount="100000" sqref="J1018:M1033" name="EDITABLE 3_4"/>
    <protectedRange algorithmName="SHA-512" hashValue="pJNw8ysPJcfMEDlzTgza0siiHuU4FkUpIzbuTX325DFaYD5nL5ng0z0JoIGpE+CYch2hq/LccMqSM51MpHojPQ==" saltValue="xv9nj4u85CXs/Kmy5tmlKw==" spinCount="100000" sqref="F1018:H1033" name="EDITABLE 2_13"/>
    <protectedRange algorithmName="SHA-512" hashValue="Lst7hsT/mUUQvFsOUalIdMZhSjExDj/C7u4r1gIjHREwBj16N7lqODQ0CY6n+RXalo774Zm4aYZKVBS0n4XIeg==" saltValue="KfnRR/cqfK967zBK52Zr6A==" spinCount="100000" sqref="B1018:D1033" name="EDITABLE 1_5"/>
    <protectedRange algorithmName="SHA-512" hashValue="CVDb5J/0TlFD03lqit9XaA7LbCMGvWLCsduA3v8dImZEGhWfzgZ6Dg6bkjbAbJm1bYAcMLcpovU/dJmuMze5jw==" saltValue="QZ4X9aU2cO4/tAPW6011Dw==" spinCount="100000" sqref="O1034:Q1048" name="EDITABLE 4_8"/>
    <protectedRange algorithmName="SHA-512" hashValue="ytsoXFfC1+WmXVaa1/e6XfcZ7vPjNmSnuZe33NqN4NcqbRxNJdzSGuklMRpskJNPYNNz1yZQe585JE4aSLisOg==" saltValue="/jSLFmNX0mB2vn2qhSJbtw==" spinCount="100000" sqref="J1034:M1048" name="EDITABLE 3_5"/>
    <protectedRange algorithmName="SHA-512" hashValue="pJNw8ysPJcfMEDlzTgza0siiHuU4FkUpIzbuTX325DFaYD5nL5ng0z0JoIGpE+CYch2hq/LccMqSM51MpHojPQ==" saltValue="xv9nj4u85CXs/Kmy5tmlKw==" spinCount="100000" sqref="F1034:H1048" name="EDITABLE 2_14"/>
    <protectedRange algorithmName="SHA-512" hashValue="Lst7hsT/mUUQvFsOUalIdMZhSjExDj/C7u4r1gIjHREwBj16N7lqODQ0CY6n+RXalo774Zm4aYZKVBS0n4XIeg==" saltValue="KfnRR/cqfK967zBK52Zr6A==" spinCount="100000" sqref="B1034:D1048" name="EDITABLE 1_6"/>
    <protectedRange algorithmName="SHA-512" hashValue="CVDb5J/0TlFD03lqit9XaA7LbCMGvWLCsduA3v8dImZEGhWfzgZ6Dg6bkjbAbJm1bYAcMLcpovU/dJmuMze5jw==" saltValue="QZ4X9aU2cO4/tAPW6011Dw==" spinCount="100000" sqref="O1074:Q1077 Q1164 O1140:Q1142 O1176:Q1176 O1053:P1053 O1154 O1093:O1095 O1109:O1111 O1054:O1062 O1143:O1144 O1160:O1161 O1078:O1080 O1122:O1129" name="EDITABLE 4_9"/>
    <protectedRange algorithmName="SHA-512" hashValue="ytsoXFfC1+WmXVaa1/e6XfcZ7vPjNmSnuZe33NqN4NcqbRxNJdzSGuklMRpskJNPYNNz1yZQe585JE4aSLisOg==" saltValue="/jSLFmNX0mB2vn2qhSJbtw==" spinCount="100000" sqref="J1053:M1053 J1156:M1168 J1055:M1154 J1173:M1176" name="EDITABLE 3_6"/>
    <protectedRange algorithmName="SHA-512" hashValue="pJNw8ysPJcfMEDlzTgza0siiHuU4FkUpIzbuTX325DFaYD5nL5ng0z0JoIGpE+CYch2hq/LccMqSM51MpHojPQ==" saltValue="xv9nj4u85CXs/Kmy5tmlKw==" spinCount="100000" sqref="F1122:H1168 G1053:H1121 F1173:H1176" name="EDITABLE 2_15"/>
    <protectedRange algorithmName="SHA-512" hashValue="Lst7hsT/mUUQvFsOUalIdMZhSjExDj/C7u4r1gIjHREwBj16N7lqODQ0CY6n+RXalo774Zm4aYZKVBS0n4XIeg==" saltValue="KfnRR/cqfK967zBK52Zr6A==" spinCount="100000" sqref="B1053:D1168 C1173:D1176 B1173:B1190 B1333:B1334" name="EDITABLE 1_7"/>
    <protectedRange algorithmName="SHA-512" hashValue="pJNw8ysPJcfMEDlzTgza0siiHuU4FkUpIzbuTX325DFaYD5nL5ng0z0JoIGpE+CYch2hq/LccMqSM51MpHojPQ==" saltValue="xv9nj4u85CXs/Kmy5tmlKw==" spinCount="100000" sqref="F1053:F1121" name="EDITABLE 2_1_4"/>
    <protectedRange algorithmName="SHA-512" hashValue="ytsoXFfC1+WmXVaa1/e6XfcZ7vPjNmSnuZe33NqN4NcqbRxNJdzSGuklMRpskJNPYNNz1yZQe585JE4aSLisOg==" saltValue="/jSLFmNX0mB2vn2qhSJbtw==" spinCount="100000" sqref="J1054:M1054" name="EDITABLE 3_9"/>
    <protectedRange algorithmName="SHA-512" hashValue="CVDb5J/0TlFD03lqit9XaA7LbCMGvWLCsduA3v8dImZEGhWfzgZ6Dg6bkjbAbJm1bYAcMLcpovU/dJmuMze5jw==" saltValue="QZ4X9aU2cO4/tAPW6011Dw==" spinCount="100000" sqref="Q1053 Q1109 Q1122 Q1160" name="EDITABLE 4_1_2"/>
    <protectedRange algorithmName="SHA-512" hashValue="CVDb5J/0TlFD03lqit9XaA7LbCMGvWLCsduA3v8dImZEGhWfzgZ6Dg6bkjbAbJm1bYAcMLcpovU/dJmuMze5jw==" saltValue="QZ4X9aU2cO4/tAPW6011Dw==" spinCount="100000" sqref="Q1054 Q1110 Q1123 Q1161" name="EDITABLE 4_2_1"/>
    <protectedRange algorithmName="SHA-512" hashValue="CVDb5J/0TlFD03lqit9XaA7LbCMGvWLCsduA3v8dImZEGhWfzgZ6Dg6bkjbAbJm1bYAcMLcpovU/dJmuMze5jw==" saltValue="QZ4X9aU2cO4/tAPW6011Dw==" spinCount="100000" sqref="Q1055 Q1124" name="EDITABLE 4_3_1"/>
    <protectedRange algorithmName="SHA-512" hashValue="CVDb5J/0TlFD03lqit9XaA7LbCMGvWLCsduA3v8dImZEGhWfzgZ6Dg6bkjbAbJm1bYAcMLcpovU/dJmuMze5jw==" saltValue="QZ4X9aU2cO4/tAPW6011Dw==" spinCount="100000" sqref="Q1056 Q1111 Q1125" name="EDITABLE 4_4_1"/>
    <protectedRange algorithmName="SHA-512" hashValue="CVDb5J/0TlFD03lqit9XaA7LbCMGvWLCsduA3v8dImZEGhWfzgZ6Dg6bkjbAbJm1bYAcMLcpovU/dJmuMze5jw==" saltValue="QZ4X9aU2cO4/tAPW6011Dw==" spinCount="100000" sqref="Q1057" name="EDITABLE 4_5_1"/>
    <protectedRange algorithmName="SHA-512" hashValue="CVDb5J/0TlFD03lqit9XaA7LbCMGvWLCsduA3v8dImZEGhWfzgZ6Dg6bkjbAbJm1bYAcMLcpovU/dJmuMze5jw==" saltValue="QZ4X9aU2cO4/tAPW6011Dw==" spinCount="100000" sqref="Q1058 Q1126" name="EDITABLE 4_6_1"/>
    <protectedRange algorithmName="SHA-512" hashValue="CVDb5J/0TlFD03lqit9XaA7LbCMGvWLCsduA3v8dImZEGhWfzgZ6Dg6bkjbAbJm1bYAcMLcpovU/dJmuMze5jw==" saltValue="QZ4X9aU2cO4/tAPW6011Dw==" spinCount="100000" sqref="Q1059 Q1127" name="EDITABLE 4_7_1"/>
    <protectedRange algorithmName="SHA-512" hashValue="CVDb5J/0TlFD03lqit9XaA7LbCMGvWLCsduA3v8dImZEGhWfzgZ6Dg6bkjbAbJm1bYAcMLcpovU/dJmuMze5jw==" saltValue="QZ4X9aU2cO4/tAPW6011Dw==" spinCount="100000" sqref="Q1060" name="EDITABLE 4_8_1"/>
    <protectedRange algorithmName="SHA-512" hashValue="CVDb5J/0TlFD03lqit9XaA7LbCMGvWLCsduA3v8dImZEGhWfzgZ6Dg6bkjbAbJm1bYAcMLcpovU/dJmuMze5jw==" saltValue="QZ4X9aU2cO4/tAPW6011Dw==" spinCount="100000" sqref="Q1128" name="EDITABLE 4_9_1"/>
    <protectedRange algorithmName="SHA-512" hashValue="CVDb5J/0TlFD03lqit9XaA7LbCMGvWLCsduA3v8dImZEGhWfzgZ6Dg6bkjbAbJm1bYAcMLcpovU/dJmuMze5jw==" saltValue="QZ4X9aU2cO4/tAPW6011Dw==" spinCount="100000" sqref="Q1061" name="EDITABLE 4_11"/>
    <protectedRange algorithmName="SHA-512" hashValue="CVDb5J/0TlFD03lqit9XaA7LbCMGvWLCsduA3v8dImZEGhWfzgZ6Dg6bkjbAbJm1bYAcMLcpovU/dJmuMze5jw==" saltValue="QZ4X9aU2cO4/tAPW6011Dw==" spinCount="100000" sqref="Q1062" name="EDITABLE 4_12"/>
    <protectedRange algorithmName="SHA-512" hashValue="CVDb5J/0TlFD03lqit9XaA7LbCMGvWLCsduA3v8dImZEGhWfzgZ6Dg6bkjbAbJm1bYAcMLcpovU/dJmuMze5jw==" saltValue="QZ4X9aU2cO4/tAPW6011Dw==" spinCount="100000" sqref="Q1129" name="EDITABLE 4_13"/>
    <protectedRange algorithmName="SHA-512" hashValue="CVDb5J/0TlFD03lqit9XaA7LbCMGvWLCsduA3v8dImZEGhWfzgZ6Dg6bkjbAbJm1bYAcMLcpovU/dJmuMze5jw==" saltValue="QZ4X9aU2cO4/tAPW6011Dw==" spinCount="100000" sqref="O1063:O1064 O1130 Q1063:Q1064 Q1130" name="EDITABLE 4_15"/>
    <protectedRange algorithmName="SHA-512" hashValue="CVDb5J/0TlFD03lqit9XaA7LbCMGvWLCsduA3v8dImZEGhWfzgZ6Dg6bkjbAbJm1bYAcMLcpovU/dJmuMze5jw==" saltValue="QZ4X9aU2cO4/tAPW6011Dw==" spinCount="100000" sqref="O1065 O1112 O1131 O1162 Q1065 Q1112 Q1131 Q1162" name="EDITABLE 4_16"/>
    <protectedRange algorithmName="SHA-512" hashValue="CVDb5J/0TlFD03lqit9XaA7LbCMGvWLCsduA3v8dImZEGhWfzgZ6Dg6bkjbAbJm1bYAcMLcpovU/dJmuMze5jw==" saltValue="QZ4X9aU2cO4/tAPW6011Dw==" spinCount="100000" sqref="O1066:O1067 Q1066:Q1067" name="EDITABLE 4_17"/>
    <protectedRange algorithmName="SHA-512" hashValue="CVDb5J/0TlFD03lqit9XaA7LbCMGvWLCsduA3v8dImZEGhWfzgZ6Dg6bkjbAbJm1bYAcMLcpovU/dJmuMze5jw==" saltValue="QZ4X9aU2cO4/tAPW6011Dw==" spinCount="100000" sqref="O1113 Q1113" name="EDITABLE 4_18"/>
    <protectedRange algorithmName="SHA-512" hashValue="CVDb5J/0TlFD03lqit9XaA7LbCMGvWLCsduA3v8dImZEGhWfzgZ6Dg6bkjbAbJm1bYAcMLcpovU/dJmuMze5jw==" saltValue="QZ4X9aU2cO4/tAPW6011Dw==" spinCount="100000" sqref="O1132:O1133 Q1132:Q1133" name="EDITABLE 4_19"/>
    <protectedRange algorithmName="SHA-512" hashValue="CVDb5J/0TlFD03lqit9XaA7LbCMGvWLCsduA3v8dImZEGhWfzgZ6Dg6bkjbAbJm1bYAcMLcpovU/dJmuMze5jw==" saltValue="QZ4X9aU2cO4/tAPW6011Dw==" spinCount="100000" sqref="O1163:Q1163 O1164:P1164" name="EDITABLE 4_20"/>
    <protectedRange algorithmName="SHA-512" hashValue="CVDb5J/0TlFD03lqit9XaA7LbCMGvWLCsduA3v8dImZEGhWfzgZ6Dg6bkjbAbJm1bYAcMLcpovU/dJmuMze5jw==" saltValue="QZ4X9aU2cO4/tAPW6011Dw==" spinCount="100000" sqref="O1114 Q1114" name="EDITABLE 4_22"/>
    <protectedRange algorithmName="SHA-512" hashValue="CVDb5J/0TlFD03lqit9XaA7LbCMGvWLCsduA3v8dImZEGhWfzgZ6Dg6bkjbAbJm1bYAcMLcpovU/dJmuMze5jw==" saltValue="QZ4X9aU2cO4/tAPW6011Dw==" spinCount="100000" sqref="O1134 Q1134" name="EDITABLE 4_23"/>
    <protectedRange algorithmName="SHA-512" hashValue="CVDb5J/0TlFD03lqit9XaA7LbCMGvWLCsduA3v8dImZEGhWfzgZ6Dg6bkjbAbJm1bYAcMLcpovU/dJmuMze5jw==" saltValue="QZ4X9aU2cO4/tAPW6011Dw==" spinCount="100000" sqref="O1068:O1070 Q1068:Q1070" name="EDITABLE 4_24"/>
    <protectedRange algorithmName="SHA-512" hashValue="CVDb5J/0TlFD03lqit9XaA7LbCMGvWLCsduA3v8dImZEGhWfzgZ6Dg6bkjbAbJm1bYAcMLcpovU/dJmuMze5jw==" saltValue="QZ4X9aU2cO4/tAPW6011Dw==" spinCount="100000" sqref="O1135:O1137 Q1135:Q1137" name="EDITABLE 4_25"/>
    <protectedRange algorithmName="SHA-512" hashValue="CVDb5J/0TlFD03lqit9XaA7LbCMGvWLCsduA3v8dImZEGhWfzgZ6Dg6bkjbAbJm1bYAcMLcpovU/dJmuMze5jw==" saltValue="QZ4X9aU2cO4/tAPW6011Dw==" spinCount="100000" sqref="O1071:O1073 Q1071:Q1073" name="EDITABLE 4_27"/>
    <protectedRange algorithmName="SHA-512" hashValue="CVDb5J/0TlFD03lqit9XaA7LbCMGvWLCsduA3v8dImZEGhWfzgZ6Dg6bkjbAbJm1bYAcMLcpovU/dJmuMze5jw==" saltValue="QZ4X9aU2cO4/tAPW6011Dw==" spinCount="100000" sqref="O1138:O1139 Q1138:Q1139" name="EDITABLE 4_28"/>
    <protectedRange algorithmName="SHA-512" hashValue="CVDb5J/0TlFD03lqit9XaA7LbCMGvWLCsduA3v8dImZEGhWfzgZ6Dg6bkjbAbJm1bYAcMLcpovU/dJmuMze5jw==" saltValue="QZ4X9aU2cO4/tAPW6011Dw==" spinCount="100000" sqref="Q1078 Q1143" name="EDITABLE 4_30"/>
    <protectedRange algorithmName="SHA-512" hashValue="CVDb5J/0TlFD03lqit9XaA7LbCMGvWLCsduA3v8dImZEGhWfzgZ6Dg6bkjbAbJm1bYAcMLcpovU/dJmuMze5jw==" saltValue="QZ4X9aU2cO4/tAPW6011Dw==" spinCount="100000" sqref="Q1079 Q1144" name="EDITABLE 4_31"/>
    <protectedRange algorithmName="SHA-512" hashValue="CVDb5J/0TlFD03lqit9XaA7LbCMGvWLCsduA3v8dImZEGhWfzgZ6Dg6bkjbAbJm1bYAcMLcpovU/dJmuMze5jw==" saltValue="QZ4X9aU2cO4/tAPW6011Dw==" spinCount="100000" sqref="Q1080" name="EDITABLE 4_32"/>
    <protectedRange algorithmName="SHA-512" hashValue="CVDb5J/0TlFD03lqit9XaA7LbCMGvWLCsduA3v8dImZEGhWfzgZ6Dg6bkjbAbJm1bYAcMLcpovU/dJmuMze5jw==" saltValue="QZ4X9aU2cO4/tAPW6011Dw==" spinCount="100000" sqref="Q1081" name="EDITABLE 4_33"/>
    <protectedRange algorithmName="SHA-512" hashValue="CVDb5J/0TlFD03lqit9XaA7LbCMGvWLCsduA3v8dImZEGhWfzgZ6Dg6bkjbAbJm1bYAcMLcpovU/dJmuMze5jw==" saltValue="QZ4X9aU2cO4/tAPW6011Dw==" spinCount="100000" sqref="O1082 Q1082" name="EDITABLE 4_34"/>
    <protectedRange algorithmName="SHA-512" hashValue="CVDb5J/0TlFD03lqit9XaA7LbCMGvWLCsduA3v8dImZEGhWfzgZ6Dg6bkjbAbJm1bYAcMLcpovU/dJmuMze5jw==" saltValue="QZ4X9aU2cO4/tAPW6011Dw==" spinCount="100000" sqref="Q1145:Q1147 O1145:O1147" name="EDITABLE 4_35"/>
    <protectedRange algorithmName="SHA-512" hashValue="CVDb5J/0TlFD03lqit9XaA7LbCMGvWLCsduA3v8dImZEGhWfzgZ6Dg6bkjbAbJm1bYAcMLcpovU/dJmuMze5jw==" saltValue="QZ4X9aU2cO4/tAPW6011Dw==" spinCount="100000" sqref="O1081 P1054:P1073 P1078:P1107 P1109:P1117 P1119:P1139 P1143:P1156 P1158 P1160:P1162 O1165:Q1165" name="EDITABLE 4_36"/>
    <protectedRange algorithmName="SHA-512" hashValue="CVDb5J/0TlFD03lqit9XaA7LbCMGvWLCsduA3v8dImZEGhWfzgZ6Dg6bkjbAbJm1bYAcMLcpovU/dJmuMze5jw==" saltValue="QZ4X9aU2cO4/tAPW6011Dw==" spinCount="100000" sqref="O1115 O1148 O1083:O1086 Q1115 Q1148 Q1083:Q1086" name="EDITABLE 4_38"/>
    <protectedRange algorithmName="SHA-512" hashValue="CVDb5J/0TlFD03lqit9XaA7LbCMGvWLCsduA3v8dImZEGhWfzgZ6Dg6bkjbAbJm1bYAcMLcpovU/dJmuMze5jw==" saltValue="QZ4X9aU2cO4/tAPW6011Dw==" spinCount="100000" sqref="O1087:O1089 Q1087:Q1089" name="EDITABLE 4_39"/>
    <protectedRange algorithmName="SHA-512" hashValue="CVDb5J/0TlFD03lqit9XaA7LbCMGvWLCsduA3v8dImZEGhWfzgZ6Dg6bkjbAbJm1bYAcMLcpovU/dJmuMze5jw==" saltValue="QZ4X9aU2cO4/tAPW6011Dw==" spinCount="100000" sqref="O1149:O1151 Q1149:Q1151" name="EDITABLE 4_40"/>
    <protectedRange algorithmName="SHA-512" hashValue="CVDb5J/0TlFD03lqit9XaA7LbCMGvWLCsduA3v8dImZEGhWfzgZ6Dg6bkjbAbJm1bYAcMLcpovU/dJmuMze5jw==" saltValue="QZ4X9aU2cO4/tAPW6011Dw==" spinCount="100000" sqref="O1090:O1092 Q1090:Q1092" name="EDITABLE 4_42"/>
    <protectedRange algorithmName="SHA-512" hashValue="CVDb5J/0TlFD03lqit9XaA7LbCMGvWLCsduA3v8dImZEGhWfzgZ6Dg6bkjbAbJm1bYAcMLcpovU/dJmuMze5jw==" saltValue="QZ4X9aU2cO4/tAPW6011Dw==" spinCount="100000" sqref="O1116 Q1116" name="EDITABLE 4_43"/>
    <protectedRange algorithmName="SHA-512" hashValue="CVDb5J/0TlFD03lqit9XaA7LbCMGvWLCsduA3v8dImZEGhWfzgZ6Dg6bkjbAbJm1bYAcMLcpovU/dJmuMze5jw==" saltValue="QZ4X9aU2cO4/tAPW6011Dw==" spinCount="100000" sqref="O1152:O1153 Q1152:Q1153" name="EDITABLE 4_44"/>
    <protectedRange algorithmName="SHA-512" hashValue="CVDb5J/0TlFD03lqit9XaA7LbCMGvWLCsduA3v8dImZEGhWfzgZ6Dg6bkjbAbJm1bYAcMLcpovU/dJmuMze5jw==" saltValue="QZ4X9aU2cO4/tAPW6011Dw==" spinCount="100000" sqref="Q1093:Q1095 Q1154" name="EDITABLE 4_46"/>
    <protectedRange algorithmName="SHA-512" hashValue="CVDb5J/0TlFD03lqit9XaA7LbCMGvWLCsduA3v8dImZEGhWfzgZ6Dg6bkjbAbJm1bYAcMLcpovU/dJmuMze5jw==" saltValue="QZ4X9aU2cO4/tAPW6011Dw==" spinCount="100000" sqref="O1117 O1096:O1098 O1155:O1156 Q1096:Q1098 Q1117 Q1155:Q1156 O1100:O1101" name="EDITABLE 4_47"/>
    <protectedRange algorithmName="SHA-512" hashValue="CVDb5J/0TlFD03lqit9XaA7LbCMGvWLCsduA3v8dImZEGhWfzgZ6Dg6bkjbAbJm1bYAcMLcpovU/dJmuMze5jw==" saltValue="QZ4X9aU2cO4/tAPW6011Dw==" spinCount="100000" sqref="O1099 Q1099:Q1102 O1102" name="EDITABLE 4_48"/>
    <protectedRange algorithmName="SHA-512" hashValue="CVDb5J/0TlFD03lqit9XaA7LbCMGvWLCsduA3v8dImZEGhWfzgZ6Dg6bkjbAbJm1bYAcMLcpovU/dJmuMze5jw==" saltValue="QZ4X9aU2cO4/tAPW6011Dw==" spinCount="100000" sqref="O1118:Q1118 O1119 Q1119" name="EDITABLE 4_49"/>
    <protectedRange algorithmName="SHA-512" hashValue="CVDb5J/0TlFD03lqit9XaA7LbCMGvWLCsduA3v8dImZEGhWfzgZ6Dg6bkjbAbJm1bYAcMLcpovU/dJmuMze5jw==" saltValue="QZ4X9aU2cO4/tAPW6011Dw==" spinCount="100000" sqref="O1157:Q1157" name="EDITABLE 4_50"/>
    <protectedRange algorithmName="SHA-512" hashValue="CVDb5J/0TlFD03lqit9XaA7LbCMGvWLCsduA3v8dImZEGhWfzgZ6Dg6bkjbAbJm1bYAcMLcpovU/dJmuMze5jw==" saltValue="QZ4X9aU2cO4/tAPW6011Dw==" spinCount="100000" sqref="O1166:Q1168 O1173:Q1175" name="EDITABLE 4_51"/>
    <protectedRange algorithmName="SHA-512" hashValue="CVDb5J/0TlFD03lqit9XaA7LbCMGvWLCsduA3v8dImZEGhWfzgZ6Dg6bkjbAbJm1bYAcMLcpovU/dJmuMze5jw==" saltValue="QZ4X9aU2cO4/tAPW6011Dw==" spinCount="100000" sqref="O1103:O1106 Q1103:Q1106" name="EDITABLE 4_53"/>
    <protectedRange algorithmName="SHA-512" hashValue="CVDb5J/0TlFD03lqit9XaA7LbCMGvWLCsduA3v8dImZEGhWfzgZ6Dg6bkjbAbJm1bYAcMLcpovU/dJmuMze5jw==" saltValue="QZ4X9aU2cO4/tAPW6011Dw==" spinCount="100000" sqref="Q1120:Q1121 O1120:O1121" name="EDITABLE 4_54"/>
    <protectedRange algorithmName="SHA-512" hashValue="CVDb5J/0TlFD03lqit9XaA7LbCMGvWLCsduA3v8dImZEGhWfzgZ6Dg6bkjbAbJm1bYAcMLcpovU/dJmuMze5jw==" saltValue="QZ4X9aU2cO4/tAPW6011Dw==" spinCount="100000" sqref="O1158 Q1158" name="EDITABLE 4_55"/>
    <protectedRange algorithmName="SHA-512" hashValue="CVDb5J/0TlFD03lqit9XaA7LbCMGvWLCsduA3v8dImZEGhWfzgZ6Dg6bkjbAbJm1bYAcMLcpovU/dJmuMze5jw==" saltValue="QZ4X9aU2cO4/tAPW6011Dw==" spinCount="100000" sqref="O1108:Q1108 O1107 Q1107" name="EDITABLE 4_56"/>
    <protectedRange algorithmName="SHA-512" hashValue="CVDb5J/0TlFD03lqit9XaA7LbCMGvWLCsduA3v8dImZEGhWfzgZ6Dg6bkjbAbJm1bYAcMLcpovU/dJmuMze5jw==" saltValue="QZ4X9aU2cO4/tAPW6011Dw==" spinCount="100000" sqref="O1159:Q1159" name="EDITABLE 4_57"/>
    <protectedRange algorithmName="SHA-512" hashValue="ytsoXFfC1+WmXVaa1/e6XfcZ7vPjNmSnuZe33NqN4NcqbRxNJdzSGuklMRpskJNPYNNz1yZQe585JE4aSLisOg==" saltValue="/jSLFmNX0mB2vn2qhSJbtw==" spinCount="100000" sqref="J1155:M1155" name="EDITABLE 3_2_1"/>
    <protectedRange algorithmName="SHA-512" hashValue="CVDb5J/0TlFD03lqit9XaA7LbCMGvWLCsduA3v8dImZEGhWfzgZ6Dg6bkjbAbJm1bYAcMLcpovU/dJmuMze5jw==" saltValue="QZ4X9aU2cO4/tAPW6011Dw==" spinCount="100000" sqref="O1339:Q1384" name="EDITABLE 4_10"/>
    <protectedRange algorithmName="SHA-512" hashValue="ytsoXFfC1+WmXVaa1/e6XfcZ7vPjNmSnuZe33NqN4NcqbRxNJdzSGuklMRpskJNPYNNz1yZQe585JE4aSLisOg==" saltValue="/jSLFmNX0mB2vn2qhSJbtw==" spinCount="100000" sqref="J1339:M1384" name="EDITABLE 3_7"/>
    <protectedRange algorithmName="SHA-512" hashValue="pJNw8ysPJcfMEDlzTgza0siiHuU4FkUpIzbuTX325DFaYD5nL5ng0z0JoIGpE+CYch2hq/LccMqSM51MpHojPQ==" saltValue="xv9nj4u85CXs/Kmy5tmlKw==" spinCount="100000" sqref="F1339:H1384" name="EDITABLE 2_16"/>
    <protectedRange algorithmName="SHA-512" hashValue="Lst7hsT/mUUQvFsOUalIdMZhSjExDj/C7u4r1gIjHREwBj16N7lqODQ0CY6n+RXalo774Zm4aYZKVBS0n4XIeg==" saltValue="KfnRR/cqfK967zBK52Zr6A==" spinCount="100000" sqref="B1339:D1384" name="EDITABLE 1_8"/>
    <protectedRange algorithmName="SHA-512" hashValue="CVDb5J/0TlFD03lqit9XaA7LbCMGvWLCsduA3v8dImZEGhWfzgZ6Dg6bkjbAbJm1bYAcMLcpovU/dJmuMze5jw==" saltValue="QZ4X9aU2cO4/tAPW6011Dw==" spinCount="100000" sqref="O1389:P1450" name="EDITABLE 4_14"/>
    <protectedRange algorithmName="SHA-512" hashValue="pJNw8ysPJcfMEDlzTgza0siiHuU4FkUpIzbuTX325DFaYD5nL5ng0z0JoIGpE+CYch2hq/LccMqSM51MpHojPQ==" saltValue="xv9nj4u85CXs/Kmy5tmlKw==" spinCount="100000" sqref="F1389:H1450" name="EDITABLE 2_17"/>
    <protectedRange algorithmName="SHA-512" hashValue="Lst7hsT/mUUQvFsOUalIdMZhSjExDj/C7u4r1gIjHREwBj16N7lqODQ0CY6n+RXalo774Zm4aYZKVBS0n4XIeg==" saltValue="KfnRR/cqfK967zBK52Zr6A==" spinCount="100000" sqref="B1389:D1450" name="EDITABLE 1_9"/>
    <protectedRange algorithmName="SHA-512" hashValue="CVDb5J/0TlFD03lqit9XaA7LbCMGvWLCsduA3v8dImZEGhWfzgZ6Dg6bkjbAbJm1bYAcMLcpovU/dJmuMze5jw==" saltValue="QZ4X9aU2cO4/tAPW6011Dw==" spinCount="100000" sqref="Q1423 Q1442 Q1400:Q1401 Q1409:Q1410 Q1425 Q1389:Q1392 Q1398 Q1403:Q1404 Q1407 Q1413:Q1414 Q1421 Q1427:Q1428 Q1432:Q1433 Q1436:Q1437 Q1440 Q1445:Q1446" name="EDITABLE 4_7_1_1"/>
    <protectedRange algorithmName="SHA-512" hashValue="CVDb5J/0TlFD03lqit9XaA7LbCMGvWLCsduA3v8dImZEGhWfzgZ6Dg6bkjbAbJm1bYAcMLcpovU/dJmuMze5jw==" saltValue="QZ4X9aU2cO4/tAPW6011Dw==" spinCount="100000" sqref="Q1424 Q1435 Q1402 Q1411:Q1412 Q1426 Q1444 Q1397 Q1420 Q1405:Q1406 Q1393:Q1395 Q1415:Q1418 Q1429:Q1431 Q1438:Q1439 Q1447:Q1450 Q1399 Q1408 Q1422 Q1441" name="EDITABLE 4_7_1_1_1"/>
    <protectedRange algorithmName="SHA-512" hashValue="CVDb5J/0TlFD03lqit9XaA7LbCMGvWLCsduA3v8dImZEGhWfzgZ6Dg6bkjbAbJm1bYAcMLcpovU/dJmuMze5jw==" saltValue="QZ4X9aU2cO4/tAPW6011Dw==" spinCount="100000" sqref="Q1396 Q1419 Q1434 Q1443" name="EDITABLE 4_9_2"/>
    <protectedRange algorithmName="SHA-512" hashValue="ytsoXFfC1+WmXVaa1/e6XfcZ7vPjNmSnuZe33NqN4NcqbRxNJdzSGuklMRpskJNPYNNz1yZQe585JE4aSLisOg==" saltValue="/jSLFmNX0mB2vn2qhSJbtw==" spinCount="100000" sqref="J1389:M1508" name="EDITABLE 3_10"/>
    <protectedRange algorithmName="SHA-512" hashValue="CVDb5J/0TlFD03lqit9XaA7LbCMGvWLCsduA3v8dImZEGhWfzgZ6Dg6bkjbAbJm1bYAcMLcpovU/dJmuMze5jw==" saltValue="QZ4X9aU2cO4/tAPW6011Dw==" spinCount="100000" sqref="O879:Q927" name="EDITABLE 4_37"/>
    <protectedRange algorithmName="SHA-512" hashValue="ytsoXFfC1+WmXVaa1/e6XfcZ7vPjNmSnuZe33NqN4NcqbRxNJdzSGuklMRpskJNPYNNz1yZQe585JE4aSLisOg==" saltValue="/jSLFmNX0mB2vn2qhSJbtw==" spinCount="100000" sqref="J879:M927" name="EDITABLE 3_13"/>
    <protectedRange algorithmName="SHA-512" hashValue="pJNw8ysPJcfMEDlzTgza0siiHuU4FkUpIzbuTX325DFaYD5nL5ng0z0JoIGpE+CYch2hq/LccMqSM51MpHojPQ==" saltValue="xv9nj4u85CXs/Kmy5tmlKw==" spinCount="100000" sqref="F879:H927" name="EDITABLE 2_21"/>
    <protectedRange algorithmName="SHA-512" hashValue="Lst7hsT/mUUQvFsOUalIdMZhSjExDj/C7u4r1gIjHREwBj16N7lqODQ0CY6n+RXalo774Zm4aYZKVBS0n4XIeg==" saltValue="KfnRR/cqfK967zBK52Zr6A==" spinCount="100000" sqref="B879:D927" name="EDITABLE 1_14"/>
    <protectedRange algorithmName="SHA-512" hashValue="ytsoXFfC1+WmXVaa1/e6XfcZ7vPjNmSnuZe33NqN4NcqbRxNJdzSGuklMRpskJNPYNNz1yZQe585JE4aSLisOg==" saltValue="/jSLFmNX0mB2vn2qhSJbtw==" spinCount="100000" sqref="J1195:M1332" name="EDITABLE 3_14"/>
    <protectedRange algorithmName="SHA-512" hashValue="pJNw8ysPJcfMEDlzTgza0siiHuU4FkUpIzbuTX325DFaYD5nL5ng0z0JoIGpE+CYch2hq/LccMqSM51MpHojPQ==" saltValue="xv9nj4u85CXs/Kmy5tmlKw==" spinCount="100000" sqref="F1195:H1332" name="EDITABLE 2_22"/>
    <protectedRange algorithmName="SHA-512" hashValue="Lst7hsT/mUUQvFsOUalIdMZhSjExDj/C7u4r1gIjHREwBj16N7lqODQ0CY6n+RXalo774Zm4aYZKVBS0n4XIeg==" saltValue="KfnRR/cqfK967zBK52Zr6A==" spinCount="100000" sqref="B1195:D1332" name="EDITABLE 1_15"/>
    <protectedRange algorithmName="SHA-512" hashValue="CVDb5J/0TlFD03lqit9XaA7LbCMGvWLCsduA3v8dImZEGhWfzgZ6Dg6bkjbAbJm1bYAcMLcpovU/dJmuMze5jw==" saltValue="QZ4X9aU2cO4/tAPW6011Dw==" spinCount="100000" sqref="O1195:P1205 O1206:O1208" name="EDITABLE 4_1_3"/>
    <protectedRange algorithmName="SHA-512" hashValue="CVDb5J/0TlFD03lqit9XaA7LbCMGvWLCsduA3v8dImZEGhWfzgZ6Dg6bkjbAbJm1bYAcMLcpovU/dJmuMze5jw==" saltValue="QZ4X9aU2cO4/tAPW6011Dw==" spinCount="100000" sqref="P1206:P1211" name="EDITABLE 4_2_2"/>
    <protectedRange algorithmName="SHA-512" hashValue="CVDb5J/0TlFD03lqit9XaA7LbCMGvWLCsduA3v8dImZEGhWfzgZ6Dg6bkjbAbJm1bYAcMLcpovU/dJmuMze5jw==" saltValue="QZ4X9aU2cO4/tAPW6011Dw==" spinCount="100000" sqref="P1212:P1217 O1209:O1213" name="EDITABLE 4_3_2"/>
    <protectedRange algorithmName="SHA-512" hashValue="CVDb5J/0TlFD03lqit9XaA7LbCMGvWLCsduA3v8dImZEGhWfzgZ6Dg6bkjbAbJm1bYAcMLcpovU/dJmuMze5jw==" saltValue="QZ4X9aU2cO4/tAPW6011Dw==" spinCount="100000" sqref="Q1195:Q1332" name="EDITABLE 4_1_3_1"/>
    <protectedRange algorithmName="SHA-512" hashValue="CVDb5J/0TlFD03lqit9XaA7LbCMGvWLCsduA3v8dImZEGhWfzgZ6Dg6bkjbAbJm1bYAcMLcpovU/dJmuMze5jw==" saltValue="QZ4X9aU2cO4/tAPW6011Dw==" spinCount="100000" sqref="O1214:O1216" name="EDITABLE 4_4_2"/>
    <protectedRange algorithmName="SHA-512" hashValue="CVDb5J/0TlFD03lqit9XaA7LbCMGvWLCsduA3v8dImZEGhWfzgZ6Dg6bkjbAbJm1bYAcMLcpovU/dJmuMze5jw==" saltValue="QZ4X9aU2cO4/tAPW6011Dw==" spinCount="100000" sqref="O1217:O1219" name="EDITABLE 4_5_2"/>
    <protectedRange algorithmName="SHA-512" hashValue="CVDb5J/0TlFD03lqit9XaA7LbCMGvWLCsduA3v8dImZEGhWfzgZ6Dg6bkjbAbJm1bYAcMLcpovU/dJmuMze5jw==" saltValue="QZ4X9aU2cO4/tAPW6011Dw==" spinCount="100000" sqref="P1218:P1219 O1220:P1226" name="EDITABLE 4_6_2"/>
    <protectedRange algorithmName="SHA-512" hashValue="CVDb5J/0TlFD03lqit9XaA7LbCMGvWLCsduA3v8dImZEGhWfzgZ6Dg6bkjbAbJm1bYAcMLcpovU/dJmuMze5jw==" saltValue="QZ4X9aU2cO4/tAPW6011Dw==" spinCount="100000" sqref="O1227:P1228" name="EDITABLE 4_7_2"/>
    <protectedRange algorithmName="SHA-512" hashValue="CVDb5J/0TlFD03lqit9XaA7LbCMGvWLCsduA3v8dImZEGhWfzgZ6Dg6bkjbAbJm1bYAcMLcpovU/dJmuMze5jw==" saltValue="QZ4X9aU2cO4/tAPW6011Dw==" spinCount="100000" sqref="O1229:P1231" name="EDITABLE 4_8_2"/>
    <protectedRange algorithmName="SHA-512" hashValue="CVDb5J/0TlFD03lqit9XaA7LbCMGvWLCsduA3v8dImZEGhWfzgZ6Dg6bkjbAbJm1bYAcMLcpovU/dJmuMze5jw==" saltValue="QZ4X9aU2cO4/tAPW6011Dw==" spinCount="100000" sqref="O1232:P1233" name="EDITABLE 4_9_3"/>
    <protectedRange algorithmName="SHA-512" hashValue="CVDb5J/0TlFD03lqit9XaA7LbCMGvWLCsduA3v8dImZEGhWfzgZ6Dg6bkjbAbJm1bYAcMLcpovU/dJmuMze5jw==" saltValue="QZ4X9aU2cO4/tAPW6011Dw==" spinCount="100000" sqref="O1234:P1234 P1235:P1332" name="EDITABLE 4_10_1"/>
    <protectedRange algorithmName="SHA-512" hashValue="CVDb5J/0TlFD03lqit9XaA7LbCMGvWLCsduA3v8dImZEGhWfzgZ6Dg6bkjbAbJm1bYAcMLcpovU/dJmuMze5jw==" saltValue="QZ4X9aU2cO4/tAPW6011Dw==" spinCount="100000" sqref="O1514:Q1548" name="EDITABLE 4_2_4"/>
    <protectedRange algorithmName="SHA-512" hashValue="ytsoXFfC1+WmXVaa1/e6XfcZ7vPjNmSnuZe33NqN4NcqbRxNJdzSGuklMRpskJNPYNNz1yZQe585JE4aSLisOg==" saltValue="/jSLFmNX0mB2vn2qhSJbtw==" spinCount="100000" sqref="J1514:M1546" name="EDITABLE 3_2_3"/>
    <protectedRange algorithmName="SHA-512" hashValue="pJNw8ysPJcfMEDlzTgza0siiHuU4FkUpIzbuTX325DFaYD5nL5ng0z0JoIGpE+CYch2hq/LccMqSM51MpHojPQ==" saltValue="xv9nj4u85CXs/Kmy5tmlKw==" spinCount="100000" sqref="F1545:G1545 F1546:H1546 F1547:G1548 F1514:H1544" name="EDITABLE 2_2_3"/>
    <protectedRange algorithmName="SHA-512" hashValue="Lst7hsT/mUUQvFsOUalIdMZhSjExDj/C7u4r1gIjHREwBj16N7lqODQ0CY6n+RXalo774Zm4aYZKVBS0n4XIeg==" saltValue="KfnRR/cqfK967zBK52Zr6A==" spinCount="100000" sqref="D1546 B1546:C1548 B1514:D1545" name="EDITABLE 1_2_2"/>
    <protectedRange algorithmName="SHA-512" hashValue="pJNw8ysPJcfMEDlzTgza0siiHuU4FkUpIzbuTX325DFaYD5nL5ng0z0JoIGpE+CYch2hq/LccMqSM51MpHojPQ==" saltValue="xv9nj4u85CXs/Kmy5tmlKw==" spinCount="100000" sqref="H1545" name="EDITABLE 2_4_3"/>
  </protectedRanges>
  <mergeCells count="39">
    <mergeCell ref="B1510:Q1510"/>
    <mergeCell ref="B1511:Q1511"/>
    <mergeCell ref="B1512:Q1512"/>
    <mergeCell ref="B151:Q151"/>
    <mergeCell ref="B152:Q152"/>
    <mergeCell ref="B1:Q1"/>
    <mergeCell ref="B2:Q2"/>
    <mergeCell ref="B3:Q3"/>
    <mergeCell ref="B153:Q153"/>
    <mergeCell ref="B234:Q234"/>
    <mergeCell ref="B235:Q235"/>
    <mergeCell ref="B236:Q236"/>
    <mergeCell ref="B260:Q260"/>
    <mergeCell ref="B1014:Q1014"/>
    <mergeCell ref="B1015:Q1015"/>
    <mergeCell ref="B1016:Q1016"/>
    <mergeCell ref="B261:Q261"/>
    <mergeCell ref="B262:Q262"/>
    <mergeCell ref="B930:Q930"/>
    <mergeCell ref="B931:Q931"/>
    <mergeCell ref="B932:Q932"/>
    <mergeCell ref="B875:Q875"/>
    <mergeCell ref="B876:Q876"/>
    <mergeCell ref="B877:Q877"/>
    <mergeCell ref="B1170:Q1170"/>
    <mergeCell ref="B1169:Q1169"/>
    <mergeCell ref="B1335:Q1335"/>
    <mergeCell ref="B1049:Q1049"/>
    <mergeCell ref="B1050:Q1050"/>
    <mergeCell ref="B1051:Q1051"/>
    <mergeCell ref="B1171:Q1171"/>
    <mergeCell ref="B1191:Q1191"/>
    <mergeCell ref="B1192:Q1192"/>
    <mergeCell ref="B1193:Q1193"/>
    <mergeCell ref="B1336:Q1336"/>
    <mergeCell ref="B1337:Q1337"/>
    <mergeCell ref="B1385:Q1385"/>
    <mergeCell ref="B1386:Q1386"/>
    <mergeCell ref="B1387:Q1387"/>
  </mergeCells>
  <phoneticPr fontId="37" type="noConversion"/>
  <dataValidations count="2">
    <dataValidation type="list" allowBlank="1" showInputMessage="1" showErrorMessage="1" sqref="G5:G148 G150 G155:G231 G237 G233 G239:G257 G259 G264:G872 G1384 G934:G1011 G1013 G1018:G1045 G1047:G1048 G1053:G1166 G1168 G1173:G1188 G1389:G1508 G1339:G1382 G874 G879:G927 G929 G1195:G1332 G1514:G1548" xr:uid="{00000000-0002-0000-0000-000000000000}">
      <formula1>CAPITULOS</formula1>
    </dataValidation>
    <dataValidation type="list" allowBlank="1" showInputMessage="1" showErrorMessage="1" sqref="H5:H148 H150 H155:H231 H237 H233 H239:H257 H259 H264:H872 H1384 H934:H1011 H1013 H1018:H1045 H1047:H1048 H1053:H1166 H1168 H1173:H1188 H1389:H1508 H1339:H1382 H874 H879:H927 H929 H1195:H1332 H1514:H1548" xr:uid="{00000000-0002-0000-0000-000001000000}">
      <formula1>INDIRECT(G5)</formula1>
    </dataValidation>
  </dataValidations>
  <printOptions horizontalCentered="1"/>
  <pageMargins left="0.19685039370078741" right="0.19685039370078741" top="0.23622047244094491" bottom="0.19685039370078741" header="0.19685039370078741" footer="0.19685039370078741"/>
  <pageSetup paperSize="17" scale="47" fitToHeight="0" orientation="landscape" r:id="rId1"/>
  <drawing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PROCED!$A$2:$A$5</xm:f>
          </x14:formula1>
          <xm:sqref>O5:O148 O150</xm:sqref>
        </x14:dataValidation>
        <x14:dataValidation type="list" allowBlank="1" showInputMessage="1" showErrorMessage="1" xr:uid="{00000000-0002-0000-0000-000003000000}">
          <x14:formula1>
            <xm:f>FF!$A$2:$A$102</xm:f>
          </x14:formula1>
          <xm:sqref>D5:D148 D150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2"/>
  <sheetViews>
    <sheetView workbookViewId="0">
      <selection activeCell="A8" sqref="A8"/>
    </sheetView>
  </sheetViews>
  <sheetFormatPr baseColWidth="10" defaultRowHeight="15" x14ac:dyDescent="0.25"/>
  <cols>
    <col min="1" max="1" width="15.42578125" customWidth="1"/>
  </cols>
  <sheetData>
    <row r="1" spans="1:4" ht="15.75" thickBot="1" x14ac:dyDescent="0.3">
      <c r="A1" s="6" t="s">
        <v>2</v>
      </c>
      <c r="B1" s="7"/>
      <c r="C1" s="7"/>
      <c r="D1" s="7"/>
    </row>
    <row r="2" spans="1:4" x14ac:dyDescent="0.25">
      <c r="A2" s="2">
        <v>2000</v>
      </c>
      <c r="B2" s="7"/>
      <c r="C2" s="7"/>
      <c r="D2" s="7"/>
    </row>
    <row r="3" spans="1:4" x14ac:dyDescent="0.25">
      <c r="A3" s="4">
        <v>3000</v>
      </c>
      <c r="B3" s="7"/>
      <c r="C3" s="7"/>
      <c r="D3" s="7"/>
    </row>
    <row r="4" spans="1:4" x14ac:dyDescent="0.25">
      <c r="A4" s="2">
        <v>5000</v>
      </c>
      <c r="B4" s="7"/>
      <c r="C4" s="7"/>
      <c r="D4" s="7"/>
    </row>
    <row r="5" spans="1:4" x14ac:dyDescent="0.25">
      <c r="A5" s="7"/>
      <c r="B5" s="7"/>
      <c r="C5" s="7"/>
      <c r="D5" s="7"/>
    </row>
    <row r="6" spans="1:4" x14ac:dyDescent="0.25">
      <c r="A6" s="7"/>
      <c r="B6" s="7"/>
      <c r="C6" s="7"/>
      <c r="D6" s="7"/>
    </row>
    <row r="7" spans="1:4" x14ac:dyDescent="0.25">
      <c r="A7" s="7"/>
      <c r="B7" s="7"/>
      <c r="C7" s="7"/>
      <c r="D7" s="7"/>
    </row>
    <row r="8" spans="1:4" x14ac:dyDescent="0.25">
      <c r="A8" s="7"/>
      <c r="B8" s="7"/>
      <c r="C8" s="7"/>
      <c r="D8" s="7"/>
    </row>
    <row r="9" spans="1:4" x14ac:dyDescent="0.25">
      <c r="A9" s="7"/>
      <c r="B9" s="7"/>
      <c r="C9" s="7"/>
      <c r="D9" s="7"/>
    </row>
    <row r="10" spans="1:4" x14ac:dyDescent="0.25">
      <c r="A10" s="7"/>
      <c r="B10" s="7"/>
      <c r="C10" s="7"/>
      <c r="D10" s="7"/>
    </row>
    <row r="11" spans="1:4" x14ac:dyDescent="0.25">
      <c r="A11" s="7"/>
      <c r="B11" s="7"/>
      <c r="C11" s="7"/>
      <c r="D11" s="7"/>
    </row>
    <row r="12" spans="1:4" x14ac:dyDescent="0.25">
      <c r="A12" s="7"/>
      <c r="B12" s="7"/>
      <c r="C12" s="7"/>
      <c r="D12" s="7"/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7"/>
      <c r="B18" s="7"/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7"/>
      <c r="B20" s="7"/>
      <c r="C20" s="7"/>
      <c r="D20" s="7"/>
    </row>
    <row r="21" spans="1:4" x14ac:dyDescent="0.25">
      <c r="A21" s="7"/>
      <c r="B21" s="7"/>
      <c r="C21" s="7"/>
      <c r="D21" s="7"/>
    </row>
    <row r="22" spans="1:4" x14ac:dyDescent="0.25">
      <c r="A22" s="7"/>
      <c r="B22" s="7"/>
      <c r="C22" s="7"/>
      <c r="D22" s="7"/>
    </row>
    <row r="23" spans="1:4" x14ac:dyDescent="0.25">
      <c r="A23" s="7"/>
      <c r="B23" s="7"/>
      <c r="C23" s="7"/>
      <c r="D23" s="7"/>
    </row>
    <row r="24" spans="1:4" x14ac:dyDescent="0.25">
      <c r="A24" s="7"/>
      <c r="B24" s="7"/>
      <c r="C24" s="7"/>
      <c r="D24" s="7"/>
    </row>
    <row r="25" spans="1:4" x14ac:dyDescent="0.25">
      <c r="A25" s="7"/>
      <c r="B25" s="7"/>
      <c r="C25" s="7"/>
      <c r="D25" s="7"/>
    </row>
    <row r="26" spans="1:4" x14ac:dyDescent="0.25">
      <c r="A26" s="7"/>
      <c r="B26" s="7"/>
      <c r="C26" s="7"/>
      <c r="D26" s="7"/>
    </row>
    <row r="27" spans="1:4" x14ac:dyDescent="0.25">
      <c r="A27" s="7"/>
      <c r="B27" s="7"/>
      <c r="C27" s="7"/>
      <c r="D27" s="7"/>
    </row>
    <row r="28" spans="1:4" x14ac:dyDescent="0.25">
      <c r="A28" s="7"/>
      <c r="B28" s="7"/>
      <c r="C28" s="7"/>
      <c r="D28" s="7"/>
    </row>
    <row r="29" spans="1:4" x14ac:dyDescent="0.25">
      <c r="A29" s="7"/>
      <c r="B29" s="7"/>
      <c r="C29" s="7"/>
      <c r="D29" s="7"/>
    </row>
    <row r="30" spans="1:4" x14ac:dyDescent="0.25">
      <c r="A30" s="7"/>
      <c r="B30" s="7"/>
      <c r="C30" s="7"/>
      <c r="D30" s="7"/>
    </row>
    <row r="31" spans="1:4" x14ac:dyDescent="0.25">
      <c r="A31" s="7"/>
      <c r="B31" s="7"/>
      <c r="C31" s="7"/>
      <c r="D31" s="7"/>
    </row>
    <row r="32" spans="1:4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7"/>
    </row>
    <row r="34" spans="1:4" x14ac:dyDescent="0.25">
      <c r="A34" s="7"/>
      <c r="B34" s="7"/>
      <c r="C34" s="7"/>
      <c r="D34" s="7"/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x14ac:dyDescent="0.25">
      <c r="A40" s="7"/>
      <c r="B40" s="7"/>
      <c r="C40" s="7"/>
      <c r="D40" s="7"/>
    </row>
    <row r="41" spans="1:4" x14ac:dyDescent="0.25">
      <c r="A41" s="7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x14ac:dyDescent="0.25">
      <c r="A46" s="7"/>
      <c r="B46" s="7"/>
      <c r="C46" s="7"/>
      <c r="D46" s="7"/>
    </row>
    <row r="47" spans="1:4" x14ac:dyDescent="0.25">
      <c r="A47" s="7"/>
      <c r="B47" s="7"/>
      <c r="C47" s="7"/>
      <c r="D47" s="7"/>
    </row>
    <row r="48" spans="1:4" x14ac:dyDescent="0.25">
      <c r="A48" s="7"/>
      <c r="B48" s="7"/>
      <c r="C48" s="7"/>
      <c r="D48" s="7"/>
    </row>
    <row r="49" spans="1:4" x14ac:dyDescent="0.25">
      <c r="A49" s="7"/>
      <c r="B49" s="7"/>
      <c r="C49" s="7"/>
      <c r="D49" s="7"/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x14ac:dyDescent="0.25">
      <c r="A52" s="7"/>
      <c r="B52" s="7"/>
      <c r="C52" s="7"/>
      <c r="D52" s="7"/>
    </row>
    <row r="53" spans="1:4" x14ac:dyDescent="0.25">
      <c r="A53" s="7"/>
      <c r="B53" s="7"/>
      <c r="C53" s="7"/>
      <c r="D53" s="7"/>
    </row>
    <row r="54" spans="1:4" x14ac:dyDescent="0.25">
      <c r="A54" s="7"/>
      <c r="B54" s="7"/>
      <c r="C54" s="7"/>
      <c r="D54" s="7"/>
    </row>
    <row r="55" spans="1:4" x14ac:dyDescent="0.25">
      <c r="A55" s="7"/>
      <c r="B55" s="7"/>
      <c r="C55" s="7"/>
      <c r="D55" s="7"/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x14ac:dyDescent="0.25">
      <c r="A58" s="7"/>
      <c r="B58" s="7"/>
      <c r="C58" s="7"/>
      <c r="D58" s="7"/>
    </row>
    <row r="59" spans="1:4" x14ac:dyDescent="0.25">
      <c r="A59" s="7"/>
      <c r="B59" s="7"/>
      <c r="C59" s="7"/>
      <c r="D59" s="7"/>
    </row>
    <row r="60" spans="1:4" x14ac:dyDescent="0.25">
      <c r="A60" s="7"/>
      <c r="B60" s="7"/>
      <c r="C60" s="7"/>
      <c r="D60" s="7"/>
    </row>
    <row r="61" spans="1:4" x14ac:dyDescent="0.25">
      <c r="A61" s="7"/>
      <c r="B61" s="7"/>
      <c r="C61" s="7"/>
      <c r="D61" s="7"/>
    </row>
    <row r="62" spans="1:4" x14ac:dyDescent="0.25">
      <c r="A62" s="7"/>
      <c r="B62" s="7"/>
      <c r="C62" s="7"/>
      <c r="D62" s="7"/>
    </row>
    <row r="63" spans="1:4" x14ac:dyDescent="0.25">
      <c r="A63" s="7"/>
      <c r="B63" s="7"/>
      <c r="C63" s="7"/>
      <c r="D63" s="7"/>
    </row>
    <row r="64" spans="1:4" x14ac:dyDescent="0.25">
      <c r="A64" s="7"/>
      <c r="B64" s="7"/>
      <c r="C64" s="7"/>
      <c r="D64" s="7"/>
    </row>
    <row r="65" spans="1:4" x14ac:dyDescent="0.25">
      <c r="A65" s="7"/>
      <c r="B65" s="7"/>
      <c r="C65" s="7"/>
      <c r="D65" s="7"/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x14ac:dyDescent="0.25">
      <c r="A68" s="7"/>
      <c r="B68" s="7"/>
      <c r="C68" s="7"/>
      <c r="D68" s="7"/>
    </row>
    <row r="69" spans="1:4" x14ac:dyDescent="0.25">
      <c r="A69" s="7"/>
      <c r="B69" s="7"/>
      <c r="C69" s="7"/>
      <c r="D69" s="7"/>
    </row>
    <row r="70" spans="1:4" x14ac:dyDescent="0.25">
      <c r="A70" s="7"/>
      <c r="B70" s="7"/>
      <c r="C70" s="7"/>
      <c r="D70" s="7"/>
    </row>
    <row r="71" spans="1:4" x14ac:dyDescent="0.25">
      <c r="A71" s="7"/>
      <c r="B71" s="7"/>
      <c r="C71" s="7"/>
      <c r="D71" s="7"/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  <row r="74" spans="1:4" x14ac:dyDescent="0.25">
      <c r="A74" s="7"/>
      <c r="B74" s="7"/>
      <c r="C74" s="7"/>
      <c r="D74" s="7"/>
    </row>
    <row r="75" spans="1:4" x14ac:dyDescent="0.25">
      <c r="A75" s="7"/>
      <c r="B75" s="7"/>
      <c r="C75" s="7"/>
      <c r="D75" s="7"/>
    </row>
    <row r="76" spans="1:4" x14ac:dyDescent="0.25">
      <c r="A76" s="7"/>
      <c r="B76" s="7"/>
      <c r="C76" s="7"/>
      <c r="D76" s="7"/>
    </row>
    <row r="77" spans="1:4" x14ac:dyDescent="0.25">
      <c r="A77" s="7"/>
      <c r="B77" s="7"/>
      <c r="C77" s="7"/>
      <c r="D77" s="7"/>
    </row>
    <row r="78" spans="1:4" x14ac:dyDescent="0.25">
      <c r="A78" s="7"/>
      <c r="B78" s="7"/>
      <c r="C78" s="7"/>
      <c r="D78" s="7"/>
    </row>
    <row r="79" spans="1:4" x14ac:dyDescent="0.25">
      <c r="A79" s="7"/>
      <c r="B79" s="7"/>
      <c r="C79" s="7"/>
      <c r="D79" s="7"/>
    </row>
    <row r="80" spans="1:4" x14ac:dyDescent="0.25">
      <c r="A80" s="7"/>
      <c r="B80" s="7"/>
      <c r="C80" s="7"/>
      <c r="D80" s="7"/>
    </row>
    <row r="81" spans="1:4" x14ac:dyDescent="0.25">
      <c r="A81" s="7"/>
      <c r="B81" s="7"/>
      <c r="C81" s="7"/>
      <c r="D81" s="7"/>
    </row>
    <row r="82" spans="1:4" x14ac:dyDescent="0.25">
      <c r="A82" s="7"/>
      <c r="B82" s="7"/>
      <c r="C82" s="7"/>
      <c r="D82" s="7"/>
    </row>
    <row r="83" spans="1:4" x14ac:dyDescent="0.25">
      <c r="A83" s="7"/>
      <c r="B83" s="7"/>
      <c r="C83" s="7"/>
      <c r="D83" s="7"/>
    </row>
    <row r="84" spans="1:4" x14ac:dyDescent="0.25">
      <c r="A84" s="7"/>
      <c r="B84" s="7"/>
      <c r="C84" s="7"/>
      <c r="D84" s="7"/>
    </row>
    <row r="85" spans="1:4" x14ac:dyDescent="0.25">
      <c r="A85" s="7"/>
      <c r="B85" s="7"/>
      <c r="C85" s="7"/>
      <c r="D85" s="7"/>
    </row>
    <row r="86" spans="1:4" x14ac:dyDescent="0.25">
      <c r="A86" s="7"/>
      <c r="B86" s="7"/>
      <c r="C86" s="7"/>
      <c r="D86" s="7"/>
    </row>
    <row r="87" spans="1:4" x14ac:dyDescent="0.25">
      <c r="A87" s="7"/>
      <c r="B87" s="7"/>
      <c r="C87" s="7"/>
      <c r="D87" s="7"/>
    </row>
    <row r="88" spans="1:4" x14ac:dyDescent="0.25">
      <c r="A88" s="7"/>
      <c r="B88" s="7"/>
      <c r="C88" s="7"/>
      <c r="D88" s="7"/>
    </row>
    <row r="89" spans="1:4" x14ac:dyDescent="0.25">
      <c r="A89" s="7"/>
      <c r="B89" s="7"/>
      <c r="C89" s="7"/>
      <c r="D89" s="7"/>
    </row>
    <row r="90" spans="1:4" x14ac:dyDescent="0.25">
      <c r="A90" s="7"/>
      <c r="B90" s="7"/>
      <c r="C90" s="7"/>
      <c r="D90" s="7"/>
    </row>
    <row r="91" spans="1:4" x14ac:dyDescent="0.25">
      <c r="A91" s="7"/>
      <c r="B91" s="7"/>
      <c r="C91" s="7"/>
      <c r="D91" s="7"/>
    </row>
    <row r="92" spans="1:4" x14ac:dyDescent="0.25">
      <c r="A92" s="7"/>
      <c r="B92" s="7"/>
      <c r="C92" s="7"/>
      <c r="D92" s="7"/>
    </row>
    <row r="93" spans="1:4" x14ac:dyDescent="0.25">
      <c r="A93" s="7"/>
      <c r="B93" s="7"/>
      <c r="C93" s="7"/>
      <c r="D93" s="7"/>
    </row>
    <row r="94" spans="1:4" x14ac:dyDescent="0.25">
      <c r="A94" s="7"/>
      <c r="B94" s="7"/>
      <c r="C94" s="7"/>
      <c r="D94" s="7"/>
    </row>
    <row r="95" spans="1:4" x14ac:dyDescent="0.25">
      <c r="A95" s="7"/>
      <c r="B95" s="7"/>
      <c r="C95" s="7"/>
      <c r="D95" s="7"/>
    </row>
    <row r="96" spans="1:4" x14ac:dyDescent="0.25">
      <c r="A96" s="7"/>
      <c r="B96" s="7"/>
      <c r="C96" s="7"/>
      <c r="D96" s="7"/>
    </row>
    <row r="97" spans="1:4" x14ac:dyDescent="0.25">
      <c r="A97" s="7"/>
      <c r="B97" s="7"/>
      <c r="C97" s="7"/>
      <c r="D97" s="7"/>
    </row>
    <row r="98" spans="1:4" x14ac:dyDescent="0.25">
      <c r="A98" s="7"/>
      <c r="B98" s="7"/>
      <c r="C98" s="7"/>
      <c r="D98" s="7"/>
    </row>
    <row r="99" spans="1:4" x14ac:dyDescent="0.25">
      <c r="A99" s="7"/>
      <c r="B99" s="7"/>
      <c r="C99" s="7"/>
      <c r="D99" s="7"/>
    </row>
    <row r="100" spans="1:4" x14ac:dyDescent="0.25">
      <c r="A100" s="7"/>
      <c r="B100" s="7"/>
      <c r="C100" s="7"/>
      <c r="D100" s="7"/>
    </row>
    <row r="101" spans="1:4" x14ac:dyDescent="0.25">
      <c r="A101" s="7"/>
      <c r="B101" s="7"/>
      <c r="C101" s="7"/>
      <c r="D101" s="7"/>
    </row>
    <row r="102" spans="1:4" x14ac:dyDescent="0.25">
      <c r="A102" s="7"/>
      <c r="B102" s="7"/>
      <c r="C102" s="7"/>
      <c r="D10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8"/>
  <sheetViews>
    <sheetView workbookViewId="0">
      <selection activeCell="I1" sqref="I1"/>
    </sheetView>
  </sheetViews>
  <sheetFormatPr baseColWidth="10" defaultRowHeight="15" x14ac:dyDescent="0.25"/>
  <cols>
    <col min="1" max="1" width="14.85546875" customWidth="1"/>
    <col min="2" max="2" width="41.7109375" customWidth="1"/>
    <col min="3" max="7" width="17" customWidth="1"/>
    <col min="8" max="8" width="18.7109375" customWidth="1"/>
  </cols>
  <sheetData>
    <row r="1" spans="1:8" x14ac:dyDescent="0.25">
      <c r="A1" s="32" t="s">
        <v>457</v>
      </c>
      <c r="B1" s="29" t="s">
        <v>145</v>
      </c>
      <c r="C1" s="32" t="s">
        <v>458</v>
      </c>
      <c r="D1" s="29" t="s">
        <v>145</v>
      </c>
      <c r="E1" s="32" t="s">
        <v>459</v>
      </c>
      <c r="F1" s="29" t="s">
        <v>145</v>
      </c>
      <c r="G1" s="30"/>
      <c r="H1" s="33" t="s">
        <v>460</v>
      </c>
    </row>
    <row r="2" spans="1:8" ht="38.25" x14ac:dyDescent="0.25">
      <c r="A2" s="17">
        <v>210000</v>
      </c>
      <c r="B2" s="8" t="s">
        <v>125</v>
      </c>
      <c r="C2" s="17">
        <v>310000</v>
      </c>
      <c r="D2" s="8" t="s">
        <v>218</v>
      </c>
      <c r="E2" s="17">
        <v>510000</v>
      </c>
      <c r="F2" s="8" t="s">
        <v>367</v>
      </c>
      <c r="G2" s="31"/>
      <c r="H2" s="27" t="s">
        <v>461</v>
      </c>
    </row>
    <row r="3" spans="1:8" ht="25.5" x14ac:dyDescent="0.25">
      <c r="A3" s="17">
        <v>211000</v>
      </c>
      <c r="B3" s="8" t="s">
        <v>126</v>
      </c>
      <c r="C3" s="17">
        <v>311000</v>
      </c>
      <c r="D3" s="8" t="s">
        <v>219</v>
      </c>
      <c r="E3" s="17">
        <v>511000</v>
      </c>
      <c r="F3" s="8" t="s">
        <v>368</v>
      </c>
      <c r="G3" s="31"/>
      <c r="H3" s="27" t="s">
        <v>458</v>
      </c>
    </row>
    <row r="4" spans="1:8" ht="25.5" x14ac:dyDescent="0.25">
      <c r="A4" s="17">
        <v>211001</v>
      </c>
      <c r="B4" s="8" t="s">
        <v>127</v>
      </c>
      <c r="C4" s="17">
        <v>311001</v>
      </c>
      <c r="D4" s="8" t="s">
        <v>220</v>
      </c>
      <c r="E4" s="17">
        <v>511001</v>
      </c>
      <c r="F4" s="8" t="s">
        <v>369</v>
      </c>
      <c r="G4" s="31"/>
      <c r="H4" s="27" t="s">
        <v>459</v>
      </c>
    </row>
    <row r="5" spans="1:8" ht="38.25" x14ac:dyDescent="0.25">
      <c r="A5" s="17">
        <v>212000</v>
      </c>
      <c r="B5" s="8" t="s">
        <v>128</v>
      </c>
      <c r="C5" s="17">
        <v>311002</v>
      </c>
      <c r="D5" s="8" t="s">
        <v>221</v>
      </c>
      <c r="E5" s="17">
        <v>512000</v>
      </c>
      <c r="F5" s="8" t="s">
        <v>370</v>
      </c>
      <c r="G5" s="31"/>
    </row>
    <row r="6" spans="1:8" ht="25.5" x14ac:dyDescent="0.25">
      <c r="A6" s="17">
        <v>212001</v>
      </c>
      <c r="B6" s="8" t="s">
        <v>129</v>
      </c>
      <c r="C6" s="17">
        <v>312000</v>
      </c>
      <c r="D6" s="8" t="s">
        <v>222</v>
      </c>
      <c r="E6" s="17">
        <v>512001</v>
      </c>
      <c r="F6" s="8" t="s">
        <v>370</v>
      </c>
      <c r="G6" s="31"/>
    </row>
    <row r="7" spans="1:8" ht="38.25" x14ac:dyDescent="0.25">
      <c r="A7" s="17">
        <v>213000</v>
      </c>
      <c r="B7" s="8" t="s">
        <v>130</v>
      </c>
      <c r="C7" s="17">
        <v>312001</v>
      </c>
      <c r="D7" s="8" t="s">
        <v>223</v>
      </c>
      <c r="E7" s="17">
        <v>513000</v>
      </c>
      <c r="F7" s="8" t="s">
        <v>371</v>
      </c>
      <c r="G7" s="31"/>
    </row>
    <row r="8" spans="1:8" ht="25.5" x14ac:dyDescent="0.25">
      <c r="A8" s="17">
        <v>213001</v>
      </c>
      <c r="B8" s="8" t="s">
        <v>130</v>
      </c>
      <c r="C8" s="17">
        <v>313000</v>
      </c>
      <c r="D8" s="8" t="s">
        <v>224</v>
      </c>
      <c r="E8" s="17">
        <v>513001</v>
      </c>
      <c r="F8" s="8" t="s">
        <v>372</v>
      </c>
      <c r="G8" s="31"/>
    </row>
    <row r="9" spans="1:8" ht="25.5" x14ac:dyDescent="0.25">
      <c r="A9" s="17">
        <v>214000</v>
      </c>
      <c r="B9" s="8" t="s">
        <v>131</v>
      </c>
      <c r="C9" s="17">
        <v>313001</v>
      </c>
      <c r="D9" s="8" t="s">
        <v>225</v>
      </c>
      <c r="E9" s="17">
        <v>514000</v>
      </c>
      <c r="F9" s="8" t="s">
        <v>373</v>
      </c>
      <c r="G9" s="31"/>
    </row>
    <row r="10" spans="1:8" ht="38.25" x14ac:dyDescent="0.25">
      <c r="A10" s="17">
        <v>214001</v>
      </c>
      <c r="B10" s="8" t="s">
        <v>131</v>
      </c>
      <c r="C10" s="17">
        <v>313002</v>
      </c>
      <c r="D10" s="8" t="s">
        <v>226</v>
      </c>
      <c r="E10" s="17">
        <v>514001</v>
      </c>
      <c r="F10" s="8" t="s">
        <v>373</v>
      </c>
      <c r="G10" s="31"/>
    </row>
    <row r="11" spans="1:8" ht="38.25" x14ac:dyDescent="0.25">
      <c r="A11" s="17">
        <v>215000</v>
      </c>
      <c r="B11" s="8" t="s">
        <v>132</v>
      </c>
      <c r="C11" s="17">
        <v>314000</v>
      </c>
      <c r="D11" s="8" t="s">
        <v>227</v>
      </c>
      <c r="E11" s="17">
        <v>515000</v>
      </c>
      <c r="F11" s="8" t="s">
        <v>374</v>
      </c>
      <c r="G11" s="31"/>
    </row>
    <row r="12" spans="1:8" ht="25.5" x14ac:dyDescent="0.25">
      <c r="A12" s="17">
        <v>215001</v>
      </c>
      <c r="B12" s="8" t="s">
        <v>133</v>
      </c>
      <c r="C12" s="17">
        <v>314001</v>
      </c>
      <c r="D12" s="8" t="s">
        <v>228</v>
      </c>
      <c r="E12" s="17">
        <v>515001</v>
      </c>
      <c r="F12" s="8" t="s">
        <v>375</v>
      </c>
      <c r="G12" s="31"/>
    </row>
    <row r="13" spans="1:8" ht="38.25" x14ac:dyDescent="0.25">
      <c r="A13" s="17">
        <v>215002</v>
      </c>
      <c r="B13" s="8" t="s">
        <v>134</v>
      </c>
      <c r="C13" s="17">
        <v>315000</v>
      </c>
      <c r="D13" s="8" t="s">
        <v>229</v>
      </c>
      <c r="E13" s="17">
        <v>515002</v>
      </c>
      <c r="F13" s="8" t="s">
        <v>376</v>
      </c>
      <c r="G13" s="31"/>
    </row>
    <row r="14" spans="1:8" ht="25.5" x14ac:dyDescent="0.25">
      <c r="A14" s="17">
        <v>215003</v>
      </c>
      <c r="B14" s="8" t="s">
        <v>132</v>
      </c>
      <c r="C14" s="17">
        <v>315001</v>
      </c>
      <c r="D14" s="8" t="s">
        <v>229</v>
      </c>
      <c r="E14" s="17">
        <v>515003</v>
      </c>
      <c r="F14" s="8" t="s">
        <v>377</v>
      </c>
      <c r="G14" s="31"/>
    </row>
    <row r="15" spans="1:8" ht="38.25" x14ac:dyDescent="0.25">
      <c r="A15" s="17">
        <v>216000</v>
      </c>
      <c r="B15" s="8" t="s">
        <v>135</v>
      </c>
      <c r="C15" s="17">
        <v>316000</v>
      </c>
      <c r="D15" s="8" t="s">
        <v>230</v>
      </c>
      <c r="E15" s="17">
        <v>519000</v>
      </c>
      <c r="F15" s="8" t="s">
        <v>378</v>
      </c>
      <c r="G15" s="31"/>
    </row>
    <row r="16" spans="1:8" ht="38.25" x14ac:dyDescent="0.25">
      <c r="A16" s="17">
        <v>216001</v>
      </c>
      <c r="B16" s="8" t="s">
        <v>135</v>
      </c>
      <c r="C16" s="17">
        <v>316001</v>
      </c>
      <c r="D16" s="8" t="s">
        <v>230</v>
      </c>
      <c r="E16" s="17">
        <v>519001</v>
      </c>
      <c r="F16" s="8" t="s">
        <v>379</v>
      </c>
      <c r="G16" s="31"/>
    </row>
    <row r="17" spans="1:7" ht="51" x14ac:dyDescent="0.25">
      <c r="A17" s="17">
        <v>217000</v>
      </c>
      <c r="B17" s="8" t="s">
        <v>136</v>
      </c>
      <c r="C17" s="17">
        <v>317000</v>
      </c>
      <c r="D17" s="8" t="s">
        <v>231</v>
      </c>
      <c r="E17" s="17">
        <v>519002</v>
      </c>
      <c r="F17" s="8" t="s">
        <v>380</v>
      </c>
      <c r="G17" s="31"/>
    </row>
    <row r="18" spans="1:7" ht="51" x14ac:dyDescent="0.25">
      <c r="A18" s="17">
        <v>217001</v>
      </c>
      <c r="B18" s="8" t="s">
        <v>136</v>
      </c>
      <c r="C18" s="17">
        <v>317001</v>
      </c>
      <c r="D18" s="8" t="s">
        <v>231</v>
      </c>
      <c r="E18" s="17">
        <v>519003</v>
      </c>
      <c r="F18" s="8" t="s">
        <v>381</v>
      </c>
      <c r="G18" s="31"/>
    </row>
    <row r="19" spans="1:7" ht="25.5" x14ac:dyDescent="0.25">
      <c r="A19" s="17">
        <v>218000</v>
      </c>
      <c r="B19" s="8" t="s">
        <v>137</v>
      </c>
      <c r="C19" s="17">
        <v>318000</v>
      </c>
      <c r="D19" s="8" t="s">
        <v>232</v>
      </c>
      <c r="E19" s="17">
        <v>519004</v>
      </c>
      <c r="F19" s="8" t="s">
        <v>382</v>
      </c>
      <c r="G19" s="31"/>
    </row>
    <row r="20" spans="1:7" ht="51" x14ac:dyDescent="0.25">
      <c r="A20" s="17">
        <v>218001</v>
      </c>
      <c r="B20" s="8" t="s">
        <v>137</v>
      </c>
      <c r="C20" s="17">
        <v>318001</v>
      </c>
      <c r="D20" s="8" t="s">
        <v>233</v>
      </c>
      <c r="E20" s="17">
        <v>520000</v>
      </c>
      <c r="F20" s="8" t="s">
        <v>383</v>
      </c>
      <c r="G20" s="31"/>
    </row>
    <row r="21" spans="1:7" ht="25.5" x14ac:dyDescent="0.25">
      <c r="A21" s="17">
        <v>218002</v>
      </c>
      <c r="B21" s="8" t="s">
        <v>138</v>
      </c>
      <c r="C21" s="17">
        <v>319000</v>
      </c>
      <c r="D21" s="8" t="s">
        <v>234</v>
      </c>
      <c r="E21" s="17">
        <v>521000</v>
      </c>
      <c r="F21" s="8" t="s">
        <v>384</v>
      </c>
      <c r="G21" s="31"/>
    </row>
    <row r="22" spans="1:7" ht="25.5" x14ac:dyDescent="0.25">
      <c r="A22" s="17">
        <v>218003</v>
      </c>
      <c r="B22" s="8" t="s">
        <v>139</v>
      </c>
      <c r="C22" s="10">
        <v>319001</v>
      </c>
      <c r="D22" s="11" t="s">
        <v>235</v>
      </c>
      <c r="E22" s="17">
        <v>521001</v>
      </c>
      <c r="F22" s="8" t="s">
        <v>385</v>
      </c>
      <c r="G22" s="31"/>
    </row>
    <row r="23" spans="1:7" ht="25.5" x14ac:dyDescent="0.25">
      <c r="A23" s="17">
        <v>218004</v>
      </c>
      <c r="B23" s="8" t="s">
        <v>140</v>
      </c>
      <c r="C23" s="13">
        <v>320000</v>
      </c>
      <c r="D23" s="8" t="s">
        <v>236</v>
      </c>
      <c r="E23" s="17">
        <v>522000</v>
      </c>
      <c r="F23" s="8" t="s">
        <v>386</v>
      </c>
      <c r="G23" s="31"/>
    </row>
    <row r="24" spans="1:7" ht="25.5" x14ac:dyDescent="0.25">
      <c r="A24" s="17">
        <v>220000</v>
      </c>
      <c r="B24" s="8" t="s">
        <v>141</v>
      </c>
      <c r="C24" s="13">
        <v>321000</v>
      </c>
      <c r="D24" s="8" t="s">
        <v>237</v>
      </c>
      <c r="E24" s="17">
        <v>522001</v>
      </c>
      <c r="F24" s="8" t="s">
        <v>386</v>
      </c>
      <c r="G24" s="31"/>
    </row>
    <row r="25" spans="1:7" ht="38.25" x14ac:dyDescent="0.25">
      <c r="A25" s="17">
        <v>221000</v>
      </c>
      <c r="B25" s="8" t="s">
        <v>142</v>
      </c>
      <c r="C25" s="13">
        <v>321001</v>
      </c>
      <c r="D25" s="8" t="s">
        <v>237</v>
      </c>
      <c r="E25" s="17">
        <v>523000</v>
      </c>
      <c r="F25" s="8" t="s">
        <v>387</v>
      </c>
      <c r="G25" s="31"/>
    </row>
    <row r="26" spans="1:7" ht="25.5" x14ac:dyDescent="0.25">
      <c r="A26" s="17">
        <v>221001</v>
      </c>
      <c r="B26" s="8" t="s">
        <v>143</v>
      </c>
      <c r="C26" s="13">
        <v>322000</v>
      </c>
      <c r="D26" s="8" t="s">
        <v>238</v>
      </c>
      <c r="E26" s="17">
        <v>523001</v>
      </c>
      <c r="F26" s="8" t="s">
        <v>388</v>
      </c>
      <c r="G26" s="31"/>
    </row>
    <row r="27" spans="1:7" ht="25.5" x14ac:dyDescent="0.25">
      <c r="A27" s="17">
        <v>222000</v>
      </c>
      <c r="B27" s="8" t="s">
        <v>147</v>
      </c>
      <c r="C27" s="13">
        <v>322001</v>
      </c>
      <c r="D27" s="8" t="s">
        <v>238</v>
      </c>
      <c r="E27" s="17">
        <v>523002</v>
      </c>
      <c r="F27" s="8" t="s">
        <v>389</v>
      </c>
      <c r="G27" s="31"/>
    </row>
    <row r="28" spans="1:7" ht="63.75" x14ac:dyDescent="0.25">
      <c r="A28" s="17">
        <v>222001</v>
      </c>
      <c r="B28" s="8" t="s">
        <v>148</v>
      </c>
      <c r="C28" s="13">
        <v>323000</v>
      </c>
      <c r="D28" s="8" t="s">
        <v>239</v>
      </c>
      <c r="E28" s="17">
        <v>529000</v>
      </c>
      <c r="F28" s="8" t="s">
        <v>390</v>
      </c>
      <c r="G28" s="31"/>
    </row>
    <row r="29" spans="1:7" ht="38.25" x14ac:dyDescent="0.25">
      <c r="A29" s="17">
        <v>223000</v>
      </c>
      <c r="B29" s="8" t="s">
        <v>149</v>
      </c>
      <c r="C29" s="13">
        <v>323001</v>
      </c>
      <c r="D29" s="8" t="s">
        <v>240</v>
      </c>
      <c r="E29" s="17">
        <v>529001</v>
      </c>
      <c r="F29" s="8" t="s">
        <v>391</v>
      </c>
      <c r="G29" s="31"/>
    </row>
    <row r="30" spans="1:7" ht="51" x14ac:dyDescent="0.25">
      <c r="A30" s="17">
        <v>223001</v>
      </c>
      <c r="B30" s="8" t="s">
        <v>149</v>
      </c>
      <c r="C30" s="13">
        <v>323002</v>
      </c>
      <c r="D30" s="8" t="s">
        <v>241</v>
      </c>
      <c r="E30" s="17">
        <v>529002</v>
      </c>
      <c r="F30" s="8" t="s">
        <v>392</v>
      </c>
      <c r="G30" s="31"/>
    </row>
    <row r="31" spans="1:7" ht="51" x14ac:dyDescent="0.25">
      <c r="A31" s="17">
        <v>230000</v>
      </c>
      <c r="B31" s="8" t="s">
        <v>150</v>
      </c>
      <c r="C31" s="13">
        <v>323003</v>
      </c>
      <c r="D31" s="8" t="s">
        <v>242</v>
      </c>
      <c r="E31" s="10">
        <v>530000</v>
      </c>
      <c r="F31" s="11" t="s">
        <v>393</v>
      </c>
      <c r="G31" s="31"/>
    </row>
    <row r="32" spans="1:7" ht="25.5" x14ac:dyDescent="0.25">
      <c r="A32" s="17">
        <v>231000</v>
      </c>
      <c r="B32" s="8" t="s">
        <v>151</v>
      </c>
      <c r="C32" s="13">
        <v>323004</v>
      </c>
      <c r="D32" s="8" t="s">
        <v>243</v>
      </c>
      <c r="E32" s="13">
        <v>531000</v>
      </c>
      <c r="F32" s="8" t="s">
        <v>394</v>
      </c>
      <c r="G32" s="31"/>
    </row>
    <row r="33" spans="1:7" ht="63.75" x14ac:dyDescent="0.25">
      <c r="A33" s="17">
        <v>231001</v>
      </c>
      <c r="B33" s="8" t="s">
        <v>152</v>
      </c>
      <c r="C33" s="13">
        <v>324000</v>
      </c>
      <c r="D33" s="8" t="s">
        <v>244</v>
      </c>
      <c r="E33" s="13">
        <v>531001</v>
      </c>
      <c r="F33" s="8" t="s">
        <v>395</v>
      </c>
      <c r="G33" s="31"/>
    </row>
    <row r="34" spans="1:7" ht="63.75" x14ac:dyDescent="0.25">
      <c r="A34" s="10">
        <v>232000</v>
      </c>
      <c r="B34" s="11" t="s">
        <v>153</v>
      </c>
      <c r="C34" s="13">
        <v>324001</v>
      </c>
      <c r="D34" s="8" t="s">
        <v>244</v>
      </c>
      <c r="E34" s="13">
        <v>532000</v>
      </c>
      <c r="F34" s="8" t="s">
        <v>396</v>
      </c>
      <c r="G34" s="31"/>
    </row>
    <row r="35" spans="1:7" ht="38.25" x14ac:dyDescent="0.25">
      <c r="A35" s="13">
        <v>232001</v>
      </c>
      <c r="B35" s="8" t="s">
        <v>153</v>
      </c>
      <c r="C35" s="13">
        <v>325000</v>
      </c>
      <c r="D35" s="8" t="s">
        <v>245</v>
      </c>
      <c r="E35" s="13">
        <v>532001</v>
      </c>
      <c r="F35" s="8" t="s">
        <v>396</v>
      </c>
      <c r="G35" s="31"/>
    </row>
    <row r="36" spans="1:7" ht="38.25" x14ac:dyDescent="0.25">
      <c r="A36" s="13">
        <v>233000</v>
      </c>
      <c r="B36" s="8" t="s">
        <v>154</v>
      </c>
      <c r="C36" s="13">
        <v>325001</v>
      </c>
      <c r="D36" s="8" t="s">
        <v>245</v>
      </c>
      <c r="E36" s="13">
        <v>540000</v>
      </c>
      <c r="F36" s="8" t="s">
        <v>397</v>
      </c>
      <c r="G36" s="31"/>
    </row>
    <row r="37" spans="1:7" ht="51" x14ac:dyDescent="0.25">
      <c r="A37" s="13">
        <v>233001</v>
      </c>
      <c r="B37" s="8" t="s">
        <v>154</v>
      </c>
      <c r="C37" s="13">
        <v>326000</v>
      </c>
      <c r="D37" s="8" t="s">
        <v>246</v>
      </c>
      <c r="E37" s="13">
        <v>541000</v>
      </c>
      <c r="F37" s="8" t="s">
        <v>398</v>
      </c>
      <c r="G37" s="31"/>
    </row>
    <row r="38" spans="1:7" ht="51" x14ac:dyDescent="0.25">
      <c r="A38" s="13">
        <v>234000</v>
      </c>
      <c r="B38" s="8" t="s">
        <v>155</v>
      </c>
      <c r="C38" s="13">
        <v>326001</v>
      </c>
      <c r="D38" s="8" t="s">
        <v>246</v>
      </c>
      <c r="E38" s="13">
        <v>541001</v>
      </c>
      <c r="F38" s="8" t="s">
        <v>399</v>
      </c>
      <c r="G38" s="31"/>
    </row>
    <row r="39" spans="1:7" ht="25.5" x14ac:dyDescent="0.25">
      <c r="A39" s="13">
        <v>234001</v>
      </c>
      <c r="B39" s="8" t="s">
        <v>155</v>
      </c>
      <c r="C39" s="13">
        <v>327000</v>
      </c>
      <c r="D39" s="8" t="s">
        <v>247</v>
      </c>
      <c r="E39" s="13">
        <v>542000</v>
      </c>
      <c r="F39" s="8" t="s">
        <v>400</v>
      </c>
      <c r="G39" s="31"/>
    </row>
    <row r="40" spans="1:7" ht="25.5" x14ac:dyDescent="0.25">
      <c r="A40" s="13">
        <v>235000</v>
      </c>
      <c r="B40" s="8" t="s">
        <v>156</v>
      </c>
      <c r="C40" s="13">
        <v>327001</v>
      </c>
      <c r="D40" s="8" t="s">
        <v>247</v>
      </c>
      <c r="E40" s="13">
        <v>542001</v>
      </c>
      <c r="F40" s="8" t="s">
        <v>400</v>
      </c>
      <c r="G40" s="31"/>
    </row>
    <row r="41" spans="1:7" ht="25.5" x14ac:dyDescent="0.25">
      <c r="A41" s="13">
        <v>235001</v>
      </c>
      <c r="B41" s="8" t="s">
        <v>156</v>
      </c>
      <c r="C41" s="13">
        <v>328000</v>
      </c>
      <c r="D41" s="8" t="s">
        <v>248</v>
      </c>
      <c r="E41" s="13">
        <v>543000</v>
      </c>
      <c r="F41" s="8" t="s">
        <v>401</v>
      </c>
      <c r="G41" s="31"/>
    </row>
    <row r="42" spans="1:7" ht="25.5" x14ac:dyDescent="0.25">
      <c r="A42" s="13">
        <v>236000</v>
      </c>
      <c r="B42" s="8" t="s">
        <v>157</v>
      </c>
      <c r="C42" s="13">
        <v>328001</v>
      </c>
      <c r="D42" s="8" t="s">
        <v>248</v>
      </c>
      <c r="E42" s="13">
        <v>543001</v>
      </c>
      <c r="F42" s="8" t="s">
        <v>402</v>
      </c>
      <c r="G42" s="31"/>
    </row>
    <row r="43" spans="1:7" ht="38.25" x14ac:dyDescent="0.25">
      <c r="A43" s="13">
        <v>236001</v>
      </c>
      <c r="B43" s="8" t="s">
        <v>157</v>
      </c>
      <c r="C43" s="13">
        <v>328002</v>
      </c>
      <c r="D43" s="8" t="s">
        <v>249</v>
      </c>
      <c r="E43" s="13">
        <v>544000</v>
      </c>
      <c r="F43" s="8" t="s">
        <v>403</v>
      </c>
      <c r="G43" s="31"/>
    </row>
    <row r="44" spans="1:7" ht="25.5" x14ac:dyDescent="0.25">
      <c r="A44" s="13">
        <v>237000</v>
      </c>
      <c r="B44" s="8" t="s">
        <v>158</v>
      </c>
      <c r="C44" s="13">
        <v>329000</v>
      </c>
      <c r="D44" s="8" t="s">
        <v>250</v>
      </c>
      <c r="E44" s="13">
        <v>544001</v>
      </c>
      <c r="F44" s="8" t="s">
        <v>403</v>
      </c>
      <c r="G44" s="31"/>
    </row>
    <row r="45" spans="1:7" ht="25.5" x14ac:dyDescent="0.25">
      <c r="A45" s="13">
        <v>237001</v>
      </c>
      <c r="B45" s="8" t="s">
        <v>158</v>
      </c>
      <c r="C45" s="13">
        <v>329001</v>
      </c>
      <c r="D45" s="8" t="s">
        <v>251</v>
      </c>
      <c r="E45" s="13">
        <v>545000</v>
      </c>
      <c r="F45" s="8" t="s">
        <v>404</v>
      </c>
      <c r="G45" s="31"/>
    </row>
    <row r="46" spans="1:7" ht="63.75" x14ac:dyDescent="0.25">
      <c r="A46" s="13">
        <v>238000</v>
      </c>
      <c r="B46" s="8" t="s">
        <v>159</v>
      </c>
      <c r="C46" s="13">
        <v>330000</v>
      </c>
      <c r="D46" s="8" t="s">
        <v>252</v>
      </c>
      <c r="E46" s="13">
        <v>545001</v>
      </c>
      <c r="F46" s="8" t="s">
        <v>405</v>
      </c>
      <c r="G46" s="31"/>
    </row>
    <row r="47" spans="1:7" ht="51" x14ac:dyDescent="0.25">
      <c r="A47" s="13">
        <v>238001</v>
      </c>
      <c r="B47" s="8" t="s">
        <v>159</v>
      </c>
      <c r="C47" s="13">
        <v>331000</v>
      </c>
      <c r="D47" s="8" t="s">
        <v>253</v>
      </c>
      <c r="E47" s="13">
        <v>549000</v>
      </c>
      <c r="F47" s="8" t="s">
        <v>406</v>
      </c>
      <c r="G47" s="31"/>
    </row>
    <row r="48" spans="1:7" ht="25.5" x14ac:dyDescent="0.25">
      <c r="A48" s="13">
        <v>240000</v>
      </c>
      <c r="B48" s="8" t="s">
        <v>160</v>
      </c>
      <c r="C48" s="13">
        <v>331001</v>
      </c>
      <c r="D48" s="8" t="s">
        <v>254</v>
      </c>
      <c r="E48" s="13">
        <v>549001</v>
      </c>
      <c r="F48" s="8" t="s">
        <v>407</v>
      </c>
      <c r="G48" s="31"/>
    </row>
    <row r="49" spans="1:7" ht="25.5" x14ac:dyDescent="0.25">
      <c r="A49" s="13">
        <v>241000</v>
      </c>
      <c r="B49" s="8" t="s">
        <v>161</v>
      </c>
      <c r="C49" s="13">
        <v>331002</v>
      </c>
      <c r="D49" s="8" t="s">
        <v>255</v>
      </c>
      <c r="E49" s="13">
        <v>550000</v>
      </c>
      <c r="F49" s="8" t="s">
        <v>408</v>
      </c>
      <c r="G49" s="31"/>
    </row>
    <row r="50" spans="1:7" ht="25.5" x14ac:dyDescent="0.25">
      <c r="A50" s="13">
        <v>241001</v>
      </c>
      <c r="B50" s="8" t="s">
        <v>161</v>
      </c>
      <c r="C50" s="13">
        <v>331003</v>
      </c>
      <c r="D50" s="8" t="s">
        <v>256</v>
      </c>
      <c r="E50" s="13">
        <v>551000</v>
      </c>
      <c r="F50" s="8" t="s">
        <v>409</v>
      </c>
      <c r="G50" s="31"/>
    </row>
    <row r="51" spans="1:7" ht="63.75" x14ac:dyDescent="0.25">
      <c r="A51" s="13">
        <v>242000</v>
      </c>
      <c r="B51" s="8" t="s">
        <v>162</v>
      </c>
      <c r="C51" s="13">
        <v>332000</v>
      </c>
      <c r="D51" s="8" t="s">
        <v>257</v>
      </c>
      <c r="E51" s="13">
        <v>551001</v>
      </c>
      <c r="F51" s="8" t="s">
        <v>410</v>
      </c>
      <c r="G51" s="31"/>
    </row>
    <row r="52" spans="1:7" ht="63.75" x14ac:dyDescent="0.25">
      <c r="A52" s="13">
        <v>242001</v>
      </c>
      <c r="B52" s="8" t="s">
        <v>162</v>
      </c>
      <c r="C52" s="13">
        <v>332001</v>
      </c>
      <c r="D52" s="8" t="s">
        <v>257</v>
      </c>
      <c r="E52" s="13">
        <v>560000</v>
      </c>
      <c r="F52" s="8" t="s">
        <v>411</v>
      </c>
      <c r="G52" s="31"/>
    </row>
    <row r="53" spans="1:7" ht="76.5" x14ac:dyDescent="0.25">
      <c r="A53" s="13">
        <v>243000</v>
      </c>
      <c r="B53" s="8" t="s">
        <v>163</v>
      </c>
      <c r="C53" s="13">
        <v>333000</v>
      </c>
      <c r="D53" s="8" t="s">
        <v>258</v>
      </c>
      <c r="E53" s="13">
        <v>561000</v>
      </c>
      <c r="F53" s="8" t="s">
        <v>412</v>
      </c>
      <c r="G53" s="31"/>
    </row>
    <row r="54" spans="1:7" ht="63.75" x14ac:dyDescent="0.25">
      <c r="A54" s="13">
        <v>243001</v>
      </c>
      <c r="B54" s="8" t="s">
        <v>163</v>
      </c>
      <c r="C54" s="13">
        <v>333001</v>
      </c>
      <c r="D54" s="8" t="s">
        <v>259</v>
      </c>
      <c r="E54" s="13">
        <v>561001</v>
      </c>
      <c r="F54" s="8" t="s">
        <v>413</v>
      </c>
      <c r="G54" s="31"/>
    </row>
    <row r="55" spans="1:7" ht="51" x14ac:dyDescent="0.25">
      <c r="A55" s="13">
        <v>244000</v>
      </c>
      <c r="B55" s="8" t="s">
        <v>164</v>
      </c>
      <c r="C55" s="13">
        <v>333002</v>
      </c>
      <c r="D55" s="8" t="s">
        <v>260</v>
      </c>
      <c r="E55" s="13">
        <v>562000</v>
      </c>
      <c r="F55" s="8" t="s">
        <v>414</v>
      </c>
      <c r="G55" s="31"/>
    </row>
    <row r="56" spans="1:7" ht="76.5" x14ac:dyDescent="0.25">
      <c r="A56" s="13">
        <v>244001</v>
      </c>
      <c r="B56" s="8" t="s">
        <v>164</v>
      </c>
      <c r="C56" s="13">
        <v>333003</v>
      </c>
      <c r="D56" s="8" t="s">
        <v>258</v>
      </c>
      <c r="E56" s="13">
        <v>562001</v>
      </c>
      <c r="F56" s="8" t="s">
        <v>415</v>
      </c>
      <c r="G56" s="31"/>
    </row>
    <row r="57" spans="1:7" ht="38.25" x14ac:dyDescent="0.25">
      <c r="A57" s="13">
        <v>245000</v>
      </c>
      <c r="B57" s="8" t="s">
        <v>165</v>
      </c>
      <c r="C57" s="13">
        <v>334000</v>
      </c>
      <c r="D57" s="8" t="s">
        <v>261</v>
      </c>
      <c r="E57" s="13">
        <v>563000</v>
      </c>
      <c r="F57" s="8" t="s">
        <v>416</v>
      </c>
      <c r="G57" s="31"/>
    </row>
    <row r="58" spans="1:7" ht="38.25" x14ac:dyDescent="0.25">
      <c r="A58" s="13">
        <v>245001</v>
      </c>
      <c r="B58" s="8" t="s">
        <v>165</v>
      </c>
      <c r="C58" s="13">
        <v>334001</v>
      </c>
      <c r="D58" s="8" t="s">
        <v>262</v>
      </c>
      <c r="E58" s="13">
        <v>563001</v>
      </c>
      <c r="F58" s="8" t="s">
        <v>416</v>
      </c>
      <c r="G58" s="31"/>
    </row>
    <row r="59" spans="1:7" ht="76.5" x14ac:dyDescent="0.25">
      <c r="A59" s="13">
        <v>246000</v>
      </c>
      <c r="B59" s="8" t="s">
        <v>166</v>
      </c>
      <c r="C59" s="13">
        <v>334002</v>
      </c>
      <c r="D59" s="8" t="s">
        <v>263</v>
      </c>
      <c r="E59" s="13">
        <v>564000</v>
      </c>
      <c r="F59" s="8" t="s">
        <v>417</v>
      </c>
      <c r="G59" s="31"/>
    </row>
    <row r="60" spans="1:7" ht="76.5" x14ac:dyDescent="0.25">
      <c r="A60" s="13">
        <v>246001</v>
      </c>
      <c r="B60" s="8" t="s">
        <v>167</v>
      </c>
      <c r="C60" s="13">
        <v>335000</v>
      </c>
      <c r="D60" s="8" t="s">
        <v>264</v>
      </c>
      <c r="E60" s="13">
        <v>564001</v>
      </c>
      <c r="F60" s="8" t="s">
        <v>417</v>
      </c>
      <c r="G60" s="31"/>
    </row>
    <row r="61" spans="1:7" ht="51" x14ac:dyDescent="0.25">
      <c r="A61" s="13">
        <v>246002</v>
      </c>
      <c r="B61" s="8" t="s">
        <v>168</v>
      </c>
      <c r="C61" s="13">
        <v>335001</v>
      </c>
      <c r="D61" s="8" t="s">
        <v>264</v>
      </c>
      <c r="E61" s="13">
        <v>565000</v>
      </c>
      <c r="F61" s="8" t="s">
        <v>418</v>
      </c>
      <c r="G61" s="31"/>
    </row>
    <row r="62" spans="1:7" ht="63.75" x14ac:dyDescent="0.25">
      <c r="A62" s="13">
        <v>247000</v>
      </c>
      <c r="B62" s="8" t="s">
        <v>169</v>
      </c>
      <c r="C62" s="10">
        <v>336000</v>
      </c>
      <c r="D62" s="11" t="s">
        <v>265</v>
      </c>
      <c r="E62" s="13">
        <v>565001</v>
      </c>
      <c r="F62" s="8" t="s">
        <v>419</v>
      </c>
      <c r="G62" s="31"/>
    </row>
    <row r="63" spans="1:7" ht="63.75" x14ac:dyDescent="0.25">
      <c r="A63" s="13">
        <v>247001</v>
      </c>
      <c r="B63" s="8" t="s">
        <v>169</v>
      </c>
      <c r="C63" s="13">
        <v>336001</v>
      </c>
      <c r="D63" s="8" t="s">
        <v>266</v>
      </c>
      <c r="E63" s="13">
        <v>566000</v>
      </c>
      <c r="F63" s="8" t="s">
        <v>420</v>
      </c>
      <c r="G63" s="31"/>
    </row>
    <row r="64" spans="1:7" ht="63.75" x14ac:dyDescent="0.25">
      <c r="A64" s="13">
        <v>248000</v>
      </c>
      <c r="B64" s="8" t="s">
        <v>170</v>
      </c>
      <c r="C64" s="13">
        <v>336002</v>
      </c>
      <c r="D64" s="8" t="s">
        <v>267</v>
      </c>
      <c r="E64" s="13">
        <v>566001</v>
      </c>
      <c r="F64" s="8" t="s">
        <v>421</v>
      </c>
      <c r="G64" s="31"/>
    </row>
    <row r="65" spans="1:7" ht="38.25" x14ac:dyDescent="0.25">
      <c r="A65" s="13">
        <v>248001</v>
      </c>
      <c r="B65" s="8" t="s">
        <v>170</v>
      </c>
      <c r="C65" s="13">
        <v>337000</v>
      </c>
      <c r="D65" s="8" t="s">
        <v>268</v>
      </c>
      <c r="E65" s="13">
        <v>566002</v>
      </c>
      <c r="F65" s="8" t="s">
        <v>422</v>
      </c>
      <c r="G65" s="31"/>
    </row>
    <row r="66" spans="1:7" ht="38.25" x14ac:dyDescent="0.25">
      <c r="A66" s="13">
        <v>249000</v>
      </c>
      <c r="B66" s="8" t="s">
        <v>171</v>
      </c>
      <c r="C66" s="13">
        <v>337001</v>
      </c>
      <c r="D66" s="8" t="s">
        <v>269</v>
      </c>
      <c r="E66" s="13">
        <v>567000</v>
      </c>
      <c r="F66" s="8" t="s">
        <v>423</v>
      </c>
      <c r="G66" s="31"/>
    </row>
    <row r="67" spans="1:7" ht="38.25" x14ac:dyDescent="0.25">
      <c r="A67" s="13">
        <v>249001</v>
      </c>
      <c r="B67" s="8" t="s">
        <v>172</v>
      </c>
      <c r="C67" s="13">
        <v>338000</v>
      </c>
      <c r="D67" s="8" t="s">
        <v>270</v>
      </c>
      <c r="E67" s="13">
        <v>567001</v>
      </c>
      <c r="F67" s="8" t="s">
        <v>424</v>
      </c>
      <c r="G67" s="31"/>
    </row>
    <row r="68" spans="1:7" ht="25.5" x14ac:dyDescent="0.25">
      <c r="A68" s="13">
        <v>249002</v>
      </c>
      <c r="B68" s="8" t="s">
        <v>173</v>
      </c>
      <c r="C68" s="13">
        <v>338001</v>
      </c>
      <c r="D68" s="8" t="s">
        <v>271</v>
      </c>
      <c r="E68" s="13">
        <v>569000</v>
      </c>
      <c r="F68" s="8" t="s">
        <v>425</v>
      </c>
      <c r="G68" s="31"/>
    </row>
    <row r="69" spans="1:7" ht="51" x14ac:dyDescent="0.25">
      <c r="A69" s="13">
        <v>250000</v>
      </c>
      <c r="B69" s="8" t="s">
        <v>174</v>
      </c>
      <c r="C69" s="13">
        <v>339000</v>
      </c>
      <c r="D69" s="8" t="s">
        <v>272</v>
      </c>
      <c r="E69" s="13">
        <v>569001</v>
      </c>
      <c r="F69" s="8" t="s">
        <v>426</v>
      </c>
      <c r="G69" s="31"/>
    </row>
    <row r="70" spans="1:7" ht="51" x14ac:dyDescent="0.25">
      <c r="A70" s="13">
        <v>251000</v>
      </c>
      <c r="B70" s="8" t="s">
        <v>175</v>
      </c>
      <c r="C70" s="13">
        <v>339001</v>
      </c>
      <c r="D70" s="8" t="s">
        <v>272</v>
      </c>
      <c r="E70" s="13">
        <v>570000</v>
      </c>
      <c r="F70" s="8" t="s">
        <v>427</v>
      </c>
      <c r="G70" s="31"/>
    </row>
    <row r="71" spans="1:7" ht="51" x14ac:dyDescent="0.25">
      <c r="A71" s="10">
        <v>251001</v>
      </c>
      <c r="B71" s="11" t="s">
        <v>176</v>
      </c>
      <c r="C71" s="13">
        <v>340000</v>
      </c>
      <c r="D71" s="8" t="s">
        <v>273</v>
      </c>
      <c r="E71" s="13">
        <v>571000</v>
      </c>
      <c r="F71" s="8" t="s">
        <v>428</v>
      </c>
      <c r="G71" s="31"/>
    </row>
    <row r="72" spans="1:7" ht="38.25" x14ac:dyDescent="0.25">
      <c r="A72" s="13">
        <v>252000</v>
      </c>
      <c r="B72" s="8" t="s">
        <v>177</v>
      </c>
      <c r="C72" s="13">
        <v>341000</v>
      </c>
      <c r="D72" s="8" t="s">
        <v>274</v>
      </c>
      <c r="E72" s="10">
        <v>571001</v>
      </c>
      <c r="F72" s="11" t="s">
        <v>428</v>
      </c>
      <c r="G72" s="31"/>
    </row>
    <row r="73" spans="1:7" ht="38.25" x14ac:dyDescent="0.25">
      <c r="A73" s="13">
        <v>252001</v>
      </c>
      <c r="B73" s="8" t="s">
        <v>177</v>
      </c>
      <c r="C73" s="13">
        <v>341001</v>
      </c>
      <c r="D73" s="8" t="s">
        <v>275</v>
      </c>
      <c r="E73" s="13">
        <v>572000</v>
      </c>
      <c r="F73" s="8" t="s">
        <v>429</v>
      </c>
      <c r="G73" s="31"/>
    </row>
    <row r="74" spans="1:7" ht="51" x14ac:dyDescent="0.25">
      <c r="A74" s="13">
        <v>253000</v>
      </c>
      <c r="B74" s="8" t="s">
        <v>178</v>
      </c>
      <c r="C74" s="13">
        <v>342000</v>
      </c>
      <c r="D74" s="8" t="s">
        <v>276</v>
      </c>
      <c r="E74" s="13">
        <v>572001</v>
      </c>
      <c r="F74" s="8" t="s">
        <v>429</v>
      </c>
      <c r="G74" s="31"/>
    </row>
    <row r="75" spans="1:7" ht="51" x14ac:dyDescent="0.25">
      <c r="A75" s="13">
        <v>253001</v>
      </c>
      <c r="B75" s="8" t="s">
        <v>179</v>
      </c>
      <c r="C75" s="13">
        <v>342001</v>
      </c>
      <c r="D75" s="8" t="s">
        <v>276</v>
      </c>
      <c r="E75" s="13">
        <v>573000</v>
      </c>
      <c r="F75" s="8" t="s">
        <v>430</v>
      </c>
      <c r="G75" s="31"/>
    </row>
    <row r="76" spans="1:7" ht="51" x14ac:dyDescent="0.25">
      <c r="A76" s="13">
        <v>254000</v>
      </c>
      <c r="B76" s="8" t="s">
        <v>180</v>
      </c>
      <c r="C76" s="13">
        <v>343000</v>
      </c>
      <c r="D76" s="8" t="s">
        <v>277</v>
      </c>
      <c r="E76" s="13">
        <v>573001</v>
      </c>
      <c r="F76" s="8" t="s">
        <v>430</v>
      </c>
      <c r="G76" s="31"/>
    </row>
    <row r="77" spans="1:7" ht="51" x14ac:dyDescent="0.25">
      <c r="A77" s="13">
        <v>254001</v>
      </c>
      <c r="B77" s="8" t="s">
        <v>180</v>
      </c>
      <c r="C77" s="13">
        <v>343001</v>
      </c>
      <c r="D77" s="8" t="s">
        <v>277</v>
      </c>
      <c r="E77" s="13">
        <v>574000</v>
      </c>
      <c r="F77" s="8" t="s">
        <v>431</v>
      </c>
      <c r="G77" s="31"/>
    </row>
    <row r="78" spans="1:7" ht="51" x14ac:dyDescent="0.25">
      <c r="A78" s="13">
        <v>255000</v>
      </c>
      <c r="B78" s="8" t="s">
        <v>181</v>
      </c>
      <c r="C78" s="13">
        <v>344000</v>
      </c>
      <c r="D78" s="8" t="s">
        <v>278</v>
      </c>
      <c r="E78" s="13">
        <v>574001</v>
      </c>
      <c r="F78" s="8" t="s">
        <v>431</v>
      </c>
      <c r="G78" s="31"/>
    </row>
    <row r="79" spans="1:7" ht="51" x14ac:dyDescent="0.25">
      <c r="A79" s="13">
        <v>255001</v>
      </c>
      <c r="B79" s="8" t="s">
        <v>181</v>
      </c>
      <c r="C79" s="13">
        <v>344001</v>
      </c>
      <c r="D79" s="8" t="s">
        <v>278</v>
      </c>
      <c r="E79" s="13">
        <v>575000</v>
      </c>
      <c r="F79" s="8" t="s">
        <v>432</v>
      </c>
      <c r="G79" s="31"/>
    </row>
    <row r="80" spans="1:7" ht="25.5" x14ac:dyDescent="0.25">
      <c r="A80" s="13">
        <v>256000</v>
      </c>
      <c r="B80" s="8" t="s">
        <v>182</v>
      </c>
      <c r="C80" s="13">
        <v>345000</v>
      </c>
      <c r="D80" s="8" t="s">
        <v>279</v>
      </c>
      <c r="E80" s="13">
        <v>575001</v>
      </c>
      <c r="F80" s="8" t="s">
        <v>432</v>
      </c>
      <c r="G80" s="31"/>
    </row>
    <row r="81" spans="1:7" x14ac:dyDescent="0.25">
      <c r="A81" s="13">
        <v>256001</v>
      </c>
      <c r="B81" s="8" t="s">
        <v>182</v>
      </c>
      <c r="C81" s="13">
        <v>345001</v>
      </c>
      <c r="D81" s="8" t="s">
        <v>280</v>
      </c>
      <c r="E81" s="13">
        <v>576000</v>
      </c>
      <c r="F81" s="8" t="s">
        <v>433</v>
      </c>
      <c r="G81" s="31"/>
    </row>
    <row r="82" spans="1:7" ht="25.5" x14ac:dyDescent="0.25">
      <c r="A82" s="13">
        <v>259000</v>
      </c>
      <c r="B82" s="8" t="s">
        <v>183</v>
      </c>
      <c r="C82" s="13">
        <v>346000</v>
      </c>
      <c r="D82" s="8" t="s">
        <v>281</v>
      </c>
      <c r="E82" s="13">
        <v>576001</v>
      </c>
      <c r="F82" s="8" t="s">
        <v>433</v>
      </c>
      <c r="G82" s="31"/>
    </row>
    <row r="83" spans="1:7" ht="25.5" x14ac:dyDescent="0.25">
      <c r="A83" s="13">
        <v>259001</v>
      </c>
      <c r="B83" s="8" t="s">
        <v>183</v>
      </c>
      <c r="C83" s="13">
        <v>346001</v>
      </c>
      <c r="D83" s="8" t="s">
        <v>281</v>
      </c>
      <c r="E83" s="13">
        <v>577000</v>
      </c>
      <c r="F83" s="8" t="s">
        <v>434</v>
      </c>
      <c r="G83" s="31"/>
    </row>
    <row r="84" spans="1:7" ht="25.5" x14ac:dyDescent="0.25">
      <c r="A84" s="13">
        <v>260000</v>
      </c>
      <c r="B84" s="8" t="s">
        <v>184</v>
      </c>
      <c r="C84" s="13">
        <v>347000</v>
      </c>
      <c r="D84" s="8" t="s">
        <v>282</v>
      </c>
      <c r="E84" s="13">
        <v>577001</v>
      </c>
      <c r="F84" s="8" t="s">
        <v>434</v>
      </c>
      <c r="G84" s="31"/>
    </row>
    <row r="85" spans="1:7" ht="25.5" x14ac:dyDescent="0.25">
      <c r="A85" s="13">
        <v>261000</v>
      </c>
      <c r="B85" s="8" t="s">
        <v>185</v>
      </c>
      <c r="C85" s="13">
        <v>347001</v>
      </c>
      <c r="D85" s="8" t="s">
        <v>283</v>
      </c>
      <c r="E85" s="13">
        <v>578000</v>
      </c>
      <c r="F85" s="8" t="s">
        <v>435</v>
      </c>
      <c r="G85" s="31"/>
    </row>
    <row r="86" spans="1:7" ht="25.5" x14ac:dyDescent="0.25">
      <c r="A86" s="13">
        <v>261001</v>
      </c>
      <c r="B86" s="8" t="s">
        <v>186</v>
      </c>
      <c r="C86" s="13">
        <v>348000</v>
      </c>
      <c r="D86" s="8" t="s">
        <v>284</v>
      </c>
      <c r="E86" s="13">
        <v>578001</v>
      </c>
      <c r="F86" s="8" t="s">
        <v>435</v>
      </c>
      <c r="G86" s="31"/>
    </row>
    <row r="87" spans="1:7" ht="25.5" x14ac:dyDescent="0.25">
      <c r="A87" s="13">
        <v>261002</v>
      </c>
      <c r="B87" s="8" t="s">
        <v>187</v>
      </c>
      <c r="C87" s="13">
        <v>348001</v>
      </c>
      <c r="D87" s="8" t="s">
        <v>284</v>
      </c>
      <c r="E87" s="13">
        <v>579000</v>
      </c>
      <c r="F87" s="8" t="s">
        <v>436</v>
      </c>
      <c r="G87" s="31"/>
    </row>
    <row r="88" spans="1:7" ht="63.75" x14ac:dyDescent="0.25">
      <c r="A88" s="13">
        <v>262000</v>
      </c>
      <c r="B88" s="8" t="s">
        <v>188</v>
      </c>
      <c r="C88" s="13">
        <v>349000</v>
      </c>
      <c r="D88" s="8" t="s">
        <v>285</v>
      </c>
      <c r="E88" s="13">
        <v>579001</v>
      </c>
      <c r="F88" s="8" t="s">
        <v>436</v>
      </c>
      <c r="G88" s="31"/>
    </row>
    <row r="89" spans="1:7" ht="63.75" x14ac:dyDescent="0.25">
      <c r="A89" s="13">
        <v>262001</v>
      </c>
      <c r="B89" s="8" t="s">
        <v>188</v>
      </c>
      <c r="C89" s="13">
        <v>349001</v>
      </c>
      <c r="D89" s="8" t="s">
        <v>285</v>
      </c>
      <c r="E89" s="13">
        <v>580000</v>
      </c>
      <c r="F89" s="8" t="s">
        <v>437</v>
      </c>
      <c r="G89" s="31"/>
    </row>
    <row r="90" spans="1:7" ht="63.75" x14ac:dyDescent="0.25">
      <c r="A90" s="13">
        <v>270000</v>
      </c>
      <c r="B90" s="8" t="s">
        <v>189</v>
      </c>
      <c r="C90" s="13">
        <v>350000</v>
      </c>
      <c r="D90" s="8" t="s">
        <v>286</v>
      </c>
      <c r="E90" s="13">
        <v>581000</v>
      </c>
      <c r="F90" s="8" t="s">
        <v>438</v>
      </c>
      <c r="G90" s="31"/>
    </row>
    <row r="91" spans="1:7" ht="38.25" x14ac:dyDescent="0.25">
      <c r="A91" s="13">
        <v>271000</v>
      </c>
      <c r="B91" s="8" t="s">
        <v>190</v>
      </c>
      <c r="C91" s="13">
        <v>351000</v>
      </c>
      <c r="D91" s="8" t="s">
        <v>287</v>
      </c>
      <c r="E91" s="13">
        <v>581001</v>
      </c>
      <c r="F91" s="8" t="s">
        <v>438</v>
      </c>
      <c r="G91" s="31"/>
    </row>
    <row r="92" spans="1:7" ht="25.5" x14ac:dyDescent="0.25">
      <c r="A92" s="13">
        <v>271001</v>
      </c>
      <c r="B92" s="8" t="s">
        <v>191</v>
      </c>
      <c r="C92" s="13">
        <v>351001</v>
      </c>
      <c r="D92" s="8" t="s">
        <v>288</v>
      </c>
      <c r="E92" s="13">
        <v>582000</v>
      </c>
      <c r="F92" s="8" t="s">
        <v>439</v>
      </c>
      <c r="G92" s="31"/>
    </row>
    <row r="93" spans="1:7" ht="25.5" x14ac:dyDescent="0.25">
      <c r="A93" s="13">
        <v>272000</v>
      </c>
      <c r="B93" s="8" t="s">
        <v>192</v>
      </c>
      <c r="C93" s="13">
        <v>351002</v>
      </c>
      <c r="D93" s="8" t="s">
        <v>289</v>
      </c>
      <c r="E93" s="13">
        <v>582001</v>
      </c>
      <c r="F93" s="8" t="s">
        <v>439</v>
      </c>
      <c r="G93" s="31"/>
    </row>
    <row r="94" spans="1:7" ht="38.25" x14ac:dyDescent="0.25">
      <c r="A94" s="13">
        <v>272001</v>
      </c>
      <c r="B94" s="8" t="s">
        <v>193</v>
      </c>
      <c r="C94" s="13">
        <v>351003</v>
      </c>
      <c r="D94" s="8" t="s">
        <v>290</v>
      </c>
      <c r="E94" s="13">
        <v>583000</v>
      </c>
      <c r="F94" s="8" t="s">
        <v>440</v>
      </c>
      <c r="G94" s="31"/>
    </row>
    <row r="95" spans="1:7" ht="89.25" x14ac:dyDescent="0.25">
      <c r="A95" s="13">
        <v>272002</v>
      </c>
      <c r="B95" s="8" t="s">
        <v>192</v>
      </c>
      <c r="C95" s="13">
        <v>352000</v>
      </c>
      <c r="D95" s="8" t="s">
        <v>291</v>
      </c>
      <c r="E95" s="13">
        <v>583001</v>
      </c>
      <c r="F95" s="8" t="s">
        <v>441</v>
      </c>
      <c r="G95" s="31"/>
    </row>
    <row r="96" spans="1:7" ht="25.5" x14ac:dyDescent="0.25">
      <c r="A96" s="13">
        <v>273000</v>
      </c>
      <c r="B96" s="8" t="s">
        <v>194</v>
      </c>
      <c r="C96" s="13">
        <v>352001</v>
      </c>
      <c r="D96" s="8" t="s">
        <v>292</v>
      </c>
      <c r="E96" s="13">
        <v>589000</v>
      </c>
      <c r="F96" s="8" t="s">
        <v>442</v>
      </c>
      <c r="G96" s="31"/>
    </row>
    <row r="97" spans="1:7" ht="51" x14ac:dyDescent="0.25">
      <c r="A97" s="13">
        <v>273001</v>
      </c>
      <c r="B97" s="8" t="s">
        <v>194</v>
      </c>
      <c r="C97" s="13">
        <v>352002</v>
      </c>
      <c r="D97" s="8" t="s">
        <v>293</v>
      </c>
      <c r="E97" s="13">
        <v>589001</v>
      </c>
      <c r="F97" s="8" t="s">
        <v>443</v>
      </c>
      <c r="G97" s="31"/>
    </row>
    <row r="98" spans="1:7" ht="63.75" x14ac:dyDescent="0.25">
      <c r="A98" s="13">
        <v>274000</v>
      </c>
      <c r="B98" s="8" t="s">
        <v>195</v>
      </c>
      <c r="C98" s="13">
        <v>352003</v>
      </c>
      <c r="D98" s="8" t="s">
        <v>294</v>
      </c>
      <c r="E98" s="13">
        <v>590000</v>
      </c>
      <c r="F98" s="8" t="s">
        <v>444</v>
      </c>
      <c r="G98" s="31"/>
    </row>
    <row r="99" spans="1:7" ht="76.5" x14ac:dyDescent="0.25">
      <c r="A99" s="13">
        <v>274001</v>
      </c>
      <c r="B99" s="8" t="s">
        <v>195</v>
      </c>
      <c r="C99" s="13">
        <v>353000</v>
      </c>
      <c r="D99" s="8" t="s">
        <v>295</v>
      </c>
      <c r="E99" s="13">
        <v>591000</v>
      </c>
      <c r="F99" s="8" t="s">
        <v>445</v>
      </c>
      <c r="G99" s="31"/>
    </row>
    <row r="100" spans="1:7" ht="76.5" x14ac:dyDescent="0.25">
      <c r="A100" s="13">
        <v>275000</v>
      </c>
      <c r="B100" s="8" t="s">
        <v>196</v>
      </c>
      <c r="C100" s="13">
        <v>353001</v>
      </c>
      <c r="D100" s="8" t="s">
        <v>296</v>
      </c>
      <c r="E100" s="13">
        <v>591001</v>
      </c>
      <c r="F100" s="8" t="s">
        <v>445</v>
      </c>
      <c r="G100" s="31"/>
    </row>
    <row r="101" spans="1:7" ht="89.25" x14ac:dyDescent="0.25">
      <c r="A101" s="13">
        <v>275001</v>
      </c>
      <c r="B101" s="8" t="s">
        <v>196</v>
      </c>
      <c r="C101" s="10">
        <v>354000</v>
      </c>
      <c r="D101" s="11" t="s">
        <v>297</v>
      </c>
      <c r="E101" s="13">
        <v>592000</v>
      </c>
      <c r="F101" s="8" t="s">
        <v>446</v>
      </c>
      <c r="G101" s="31"/>
    </row>
    <row r="102" spans="1:7" ht="89.25" x14ac:dyDescent="0.25">
      <c r="A102" s="13">
        <v>280000</v>
      </c>
      <c r="B102" s="8" t="s">
        <v>197</v>
      </c>
      <c r="C102" s="13">
        <v>354001</v>
      </c>
      <c r="D102" s="8" t="s">
        <v>297</v>
      </c>
      <c r="E102" s="13">
        <v>592001</v>
      </c>
      <c r="F102" s="8" t="s">
        <v>446</v>
      </c>
      <c r="G102" s="31"/>
    </row>
    <row r="103" spans="1:7" ht="51" x14ac:dyDescent="0.25">
      <c r="A103" s="13">
        <v>281000</v>
      </c>
      <c r="B103" s="8" t="s">
        <v>198</v>
      </c>
      <c r="C103" s="13">
        <v>355000</v>
      </c>
      <c r="D103" s="8" t="s">
        <v>298</v>
      </c>
      <c r="E103" s="13">
        <v>593000</v>
      </c>
      <c r="F103" s="8" t="s">
        <v>447</v>
      </c>
      <c r="G103" s="31"/>
    </row>
    <row r="104" spans="1:7" ht="63.75" x14ac:dyDescent="0.25">
      <c r="A104" s="13">
        <v>281001</v>
      </c>
      <c r="B104" s="8" t="s">
        <v>198</v>
      </c>
      <c r="C104" s="13">
        <v>355001</v>
      </c>
      <c r="D104" s="8" t="s">
        <v>299</v>
      </c>
      <c r="E104" s="13">
        <v>593001</v>
      </c>
      <c r="F104" s="8" t="s">
        <v>447</v>
      </c>
      <c r="G104" s="31"/>
    </row>
    <row r="105" spans="1:7" ht="51" x14ac:dyDescent="0.25">
      <c r="A105" s="13">
        <v>282000</v>
      </c>
      <c r="B105" s="8" t="s">
        <v>199</v>
      </c>
      <c r="C105" s="13">
        <v>356000</v>
      </c>
      <c r="D105" s="8" t="s">
        <v>300</v>
      </c>
      <c r="E105" s="13">
        <v>594000</v>
      </c>
      <c r="F105" s="8" t="s">
        <v>448</v>
      </c>
      <c r="G105" s="31"/>
    </row>
    <row r="106" spans="1:7" ht="51" x14ac:dyDescent="0.25">
      <c r="A106" s="13">
        <v>282001</v>
      </c>
      <c r="B106" s="8" t="s">
        <v>199</v>
      </c>
      <c r="C106" s="13">
        <v>356001</v>
      </c>
      <c r="D106" s="8" t="s">
        <v>300</v>
      </c>
      <c r="E106" s="13">
        <v>594001</v>
      </c>
      <c r="F106" s="8" t="s">
        <v>448</v>
      </c>
      <c r="G106" s="31"/>
    </row>
    <row r="107" spans="1:7" ht="76.5" x14ac:dyDescent="0.25">
      <c r="A107" s="13">
        <v>283000</v>
      </c>
      <c r="B107" s="8" t="s">
        <v>200</v>
      </c>
      <c r="C107" s="13">
        <v>357000</v>
      </c>
      <c r="D107" s="8" t="s">
        <v>301</v>
      </c>
      <c r="E107" s="13">
        <v>595000</v>
      </c>
      <c r="F107" s="8" t="s">
        <v>449</v>
      </c>
      <c r="G107" s="31"/>
    </row>
    <row r="108" spans="1:7" ht="76.5" x14ac:dyDescent="0.25">
      <c r="A108" s="13">
        <v>283001</v>
      </c>
      <c r="B108" s="8" t="s">
        <v>201</v>
      </c>
      <c r="C108" s="13">
        <v>357001</v>
      </c>
      <c r="D108" s="8" t="s">
        <v>302</v>
      </c>
      <c r="E108" s="13">
        <v>595001</v>
      </c>
      <c r="F108" s="8" t="s">
        <v>449</v>
      </c>
      <c r="G108" s="31"/>
    </row>
    <row r="109" spans="1:7" ht="76.5" x14ac:dyDescent="0.25">
      <c r="A109" s="13">
        <v>290000</v>
      </c>
      <c r="B109" s="8" t="s">
        <v>202</v>
      </c>
      <c r="C109" s="13">
        <v>357002</v>
      </c>
      <c r="D109" s="8" t="s">
        <v>301</v>
      </c>
      <c r="E109" s="13">
        <v>596000</v>
      </c>
      <c r="F109" s="8" t="s">
        <v>450</v>
      </c>
      <c r="G109" s="31"/>
    </row>
    <row r="110" spans="1:7" ht="38.25" x14ac:dyDescent="0.25">
      <c r="A110" s="13">
        <v>291000</v>
      </c>
      <c r="B110" s="8" t="s">
        <v>203</v>
      </c>
      <c r="C110" s="13">
        <v>358000</v>
      </c>
      <c r="D110" s="8" t="s">
        <v>303</v>
      </c>
      <c r="E110" s="13">
        <v>596001</v>
      </c>
      <c r="F110" s="8" t="s">
        <v>450</v>
      </c>
      <c r="G110" s="31"/>
    </row>
    <row r="111" spans="1:7" ht="38.25" x14ac:dyDescent="0.25">
      <c r="A111" s="13">
        <v>291001</v>
      </c>
      <c r="B111" s="8" t="s">
        <v>204</v>
      </c>
      <c r="C111" s="13">
        <v>358001</v>
      </c>
      <c r="D111" s="8" t="s">
        <v>304</v>
      </c>
      <c r="E111" s="13">
        <v>597000</v>
      </c>
      <c r="F111" s="8" t="s">
        <v>451</v>
      </c>
      <c r="G111" s="31"/>
    </row>
    <row r="112" spans="1:7" ht="38.25" x14ac:dyDescent="0.25">
      <c r="A112" s="13">
        <v>292000</v>
      </c>
      <c r="B112" s="8" t="s">
        <v>205</v>
      </c>
      <c r="C112" s="13">
        <v>358002</v>
      </c>
      <c r="D112" s="8" t="s">
        <v>305</v>
      </c>
      <c r="E112" s="13">
        <v>597001</v>
      </c>
      <c r="F112" s="8" t="s">
        <v>452</v>
      </c>
      <c r="G112" s="31"/>
    </row>
    <row r="113" spans="1:7" ht="51" x14ac:dyDescent="0.25">
      <c r="A113" s="15">
        <v>292001</v>
      </c>
      <c r="B113" s="11" t="s">
        <v>206</v>
      </c>
      <c r="C113" s="13">
        <v>358003</v>
      </c>
      <c r="D113" s="8" t="s">
        <v>306</v>
      </c>
      <c r="E113" s="13">
        <v>597002</v>
      </c>
      <c r="F113" s="8" t="s">
        <v>453</v>
      </c>
      <c r="G113" s="31"/>
    </row>
    <row r="114" spans="1:7" ht="38.25" x14ac:dyDescent="0.25">
      <c r="A114" s="17">
        <v>293000</v>
      </c>
      <c r="B114" s="8" t="s">
        <v>207</v>
      </c>
      <c r="C114" s="13">
        <v>359000</v>
      </c>
      <c r="D114" s="8" t="s">
        <v>307</v>
      </c>
      <c r="E114" s="13">
        <v>598000</v>
      </c>
      <c r="F114" s="8" t="s">
        <v>454</v>
      </c>
      <c r="G114" s="31"/>
    </row>
    <row r="115" spans="1:7" ht="38.25" x14ac:dyDescent="0.25">
      <c r="A115" s="17">
        <v>293001</v>
      </c>
      <c r="B115" s="8" t="s">
        <v>207</v>
      </c>
      <c r="C115" s="13">
        <v>359001</v>
      </c>
      <c r="D115" s="8" t="s">
        <v>308</v>
      </c>
      <c r="E115" s="15">
        <v>598001</v>
      </c>
      <c r="F115" s="11" t="s">
        <v>454</v>
      </c>
      <c r="G115" s="31"/>
    </row>
    <row r="116" spans="1:7" ht="25.5" x14ac:dyDescent="0.25">
      <c r="A116" s="17">
        <v>294000</v>
      </c>
      <c r="B116" s="8" t="s">
        <v>208</v>
      </c>
      <c r="C116" s="13">
        <v>359002</v>
      </c>
      <c r="D116" s="8" t="s">
        <v>309</v>
      </c>
      <c r="E116" s="17">
        <v>599000</v>
      </c>
      <c r="F116" s="8" t="s">
        <v>455</v>
      </c>
      <c r="G116" s="31"/>
    </row>
    <row r="117" spans="1:7" ht="51" x14ac:dyDescent="0.25">
      <c r="A117" s="17">
        <v>294001</v>
      </c>
      <c r="B117" s="8" t="s">
        <v>209</v>
      </c>
      <c r="C117" s="13">
        <v>360000</v>
      </c>
      <c r="D117" s="8" t="s">
        <v>310</v>
      </c>
      <c r="E117" s="17">
        <v>599001</v>
      </c>
      <c r="F117" s="8" t="s">
        <v>455</v>
      </c>
      <c r="G117" s="31"/>
    </row>
    <row r="118" spans="1:7" ht="76.5" x14ac:dyDescent="0.25">
      <c r="A118" s="17">
        <v>294002</v>
      </c>
      <c r="B118" s="8" t="s">
        <v>210</v>
      </c>
      <c r="C118" s="13">
        <v>361000</v>
      </c>
      <c r="D118" s="8" t="s">
        <v>311</v>
      </c>
      <c r="G118" s="31"/>
    </row>
    <row r="119" spans="1:7" ht="25.5" x14ac:dyDescent="0.25">
      <c r="A119" s="17">
        <v>295000</v>
      </c>
      <c r="B119" s="8" t="s">
        <v>211</v>
      </c>
      <c r="C119" s="13">
        <v>361001</v>
      </c>
      <c r="D119" s="8" t="s">
        <v>312</v>
      </c>
      <c r="G119" s="31"/>
    </row>
    <row r="120" spans="1:7" ht="38.25" x14ac:dyDescent="0.25">
      <c r="A120" s="17">
        <v>295001</v>
      </c>
      <c r="B120" s="8" t="s">
        <v>211</v>
      </c>
      <c r="C120" s="13">
        <v>361002</v>
      </c>
      <c r="D120" s="8" t="s">
        <v>313</v>
      </c>
      <c r="G120" s="31"/>
    </row>
    <row r="121" spans="1:7" ht="25.5" x14ac:dyDescent="0.25">
      <c r="A121" s="17">
        <v>296000</v>
      </c>
      <c r="B121" s="8" t="s">
        <v>212</v>
      </c>
      <c r="C121" s="13">
        <v>361003</v>
      </c>
      <c r="D121" s="8" t="s">
        <v>314</v>
      </c>
      <c r="G121" s="31"/>
    </row>
    <row r="122" spans="1:7" ht="25.5" x14ac:dyDescent="0.25">
      <c r="A122" s="17">
        <v>296001</v>
      </c>
      <c r="B122" s="8" t="s">
        <v>213</v>
      </c>
      <c r="C122" s="13">
        <v>361004</v>
      </c>
      <c r="D122" s="8" t="s">
        <v>315</v>
      </c>
      <c r="G122" s="31"/>
    </row>
    <row r="123" spans="1:7" ht="89.25" x14ac:dyDescent="0.25">
      <c r="A123" s="17">
        <v>297000</v>
      </c>
      <c r="B123" s="8" t="s">
        <v>214</v>
      </c>
      <c r="C123" s="13">
        <v>362000</v>
      </c>
      <c r="D123" s="8" t="s">
        <v>316</v>
      </c>
      <c r="G123" s="31"/>
    </row>
    <row r="124" spans="1:7" ht="89.25" x14ac:dyDescent="0.25">
      <c r="A124" s="17">
        <v>297001</v>
      </c>
      <c r="B124" s="8" t="s">
        <v>214</v>
      </c>
      <c r="C124" s="13">
        <v>362001</v>
      </c>
      <c r="D124" s="8" t="s">
        <v>316</v>
      </c>
      <c r="G124" s="31"/>
    </row>
    <row r="125" spans="1:7" ht="102" x14ac:dyDescent="0.25">
      <c r="A125" s="17">
        <v>298000</v>
      </c>
      <c r="B125" s="8" t="s">
        <v>215</v>
      </c>
      <c r="C125" s="13">
        <v>362002</v>
      </c>
      <c r="D125" s="8" t="s">
        <v>317</v>
      </c>
      <c r="G125" s="31"/>
    </row>
    <row r="126" spans="1:7" ht="76.5" x14ac:dyDescent="0.25">
      <c r="A126" s="17">
        <v>298001</v>
      </c>
      <c r="B126" s="8" t="s">
        <v>215</v>
      </c>
      <c r="C126" s="13">
        <v>363000</v>
      </c>
      <c r="D126" s="8" t="s">
        <v>318</v>
      </c>
      <c r="G126" s="31"/>
    </row>
    <row r="127" spans="1:7" ht="38.25" x14ac:dyDescent="0.25">
      <c r="A127" s="17">
        <v>299000</v>
      </c>
      <c r="B127" s="8" t="s">
        <v>216</v>
      </c>
      <c r="C127" s="13">
        <v>363001</v>
      </c>
      <c r="D127" s="8" t="s">
        <v>319</v>
      </c>
      <c r="G127" s="31"/>
    </row>
    <row r="128" spans="1:7" ht="38.25" x14ac:dyDescent="0.25">
      <c r="A128" s="17">
        <v>299001</v>
      </c>
      <c r="B128" s="8" t="s">
        <v>216</v>
      </c>
      <c r="C128" s="13">
        <v>364000</v>
      </c>
      <c r="D128" s="8" t="s">
        <v>320</v>
      </c>
      <c r="G128" s="31"/>
    </row>
    <row r="129" spans="3:4" ht="25.5" x14ac:dyDescent="0.25">
      <c r="C129" s="13">
        <v>364001</v>
      </c>
      <c r="D129" s="8" t="s">
        <v>321</v>
      </c>
    </row>
    <row r="130" spans="3:4" ht="51" x14ac:dyDescent="0.25">
      <c r="C130" s="13">
        <v>365000</v>
      </c>
      <c r="D130" s="8" t="s">
        <v>322</v>
      </c>
    </row>
    <row r="131" spans="3:4" ht="51" x14ac:dyDescent="0.25">
      <c r="C131" s="13">
        <v>365001</v>
      </c>
      <c r="D131" s="8" t="s">
        <v>322</v>
      </c>
    </row>
    <row r="132" spans="3:4" ht="63.75" x14ac:dyDescent="0.25">
      <c r="C132" s="13">
        <v>366000</v>
      </c>
      <c r="D132" s="8" t="s">
        <v>323</v>
      </c>
    </row>
    <row r="133" spans="3:4" ht="25.5" x14ac:dyDescent="0.25">
      <c r="C133" s="13">
        <v>366001</v>
      </c>
      <c r="D133" s="8" t="s">
        <v>324</v>
      </c>
    </row>
    <row r="134" spans="3:4" ht="25.5" x14ac:dyDescent="0.25">
      <c r="C134" s="10">
        <v>369000</v>
      </c>
      <c r="D134" s="11" t="s">
        <v>325</v>
      </c>
    </row>
    <row r="135" spans="3:4" ht="38.25" x14ac:dyDescent="0.25">
      <c r="C135" s="13">
        <v>369001</v>
      </c>
      <c r="D135" s="8" t="s">
        <v>326</v>
      </c>
    </row>
    <row r="136" spans="3:4" ht="38.25" x14ac:dyDescent="0.25">
      <c r="C136" s="13">
        <v>370000</v>
      </c>
      <c r="D136" s="8" t="s">
        <v>327</v>
      </c>
    </row>
    <row r="137" spans="3:4" x14ac:dyDescent="0.25">
      <c r="C137" s="13">
        <v>371000</v>
      </c>
      <c r="D137" s="8" t="s">
        <v>328</v>
      </c>
    </row>
    <row r="138" spans="3:4" x14ac:dyDescent="0.25">
      <c r="C138" s="13">
        <v>371001</v>
      </c>
      <c r="D138" s="8" t="s">
        <v>328</v>
      </c>
    </row>
    <row r="139" spans="3:4" x14ac:dyDescent="0.25">
      <c r="C139" s="13">
        <v>372000</v>
      </c>
      <c r="D139" s="8" t="s">
        <v>329</v>
      </c>
    </row>
    <row r="140" spans="3:4" x14ac:dyDescent="0.25">
      <c r="C140" s="13">
        <v>372001</v>
      </c>
      <c r="D140" s="8" t="s">
        <v>329</v>
      </c>
    </row>
    <row r="141" spans="3:4" ht="25.5" x14ac:dyDescent="0.25">
      <c r="C141" s="13">
        <v>373000</v>
      </c>
      <c r="D141" s="8" t="s">
        <v>330</v>
      </c>
    </row>
    <row r="142" spans="3:4" x14ac:dyDescent="0.25">
      <c r="C142" s="13">
        <v>373001</v>
      </c>
      <c r="D142" s="8" t="s">
        <v>331</v>
      </c>
    </row>
    <row r="143" spans="3:4" x14ac:dyDescent="0.25">
      <c r="C143" s="13">
        <v>374000</v>
      </c>
      <c r="D143" s="8" t="s">
        <v>332</v>
      </c>
    </row>
    <row r="144" spans="3:4" x14ac:dyDescent="0.25">
      <c r="C144" s="13">
        <v>374001</v>
      </c>
      <c r="D144" s="8" t="s">
        <v>332</v>
      </c>
    </row>
    <row r="145" spans="3:4" x14ac:dyDescent="0.25">
      <c r="C145" s="13">
        <v>375000</v>
      </c>
      <c r="D145" s="8" t="s">
        <v>333</v>
      </c>
    </row>
    <row r="146" spans="3:4" x14ac:dyDescent="0.25">
      <c r="C146" s="13">
        <v>375001</v>
      </c>
      <c r="D146" s="8" t="s">
        <v>334</v>
      </c>
    </row>
    <row r="147" spans="3:4" ht="25.5" x14ac:dyDescent="0.25">
      <c r="C147" s="13">
        <v>376000</v>
      </c>
      <c r="D147" s="8" t="s">
        <v>335</v>
      </c>
    </row>
    <row r="148" spans="3:4" ht="25.5" x14ac:dyDescent="0.25">
      <c r="C148" s="13">
        <v>376001</v>
      </c>
      <c r="D148" s="8" t="s">
        <v>335</v>
      </c>
    </row>
    <row r="149" spans="3:4" ht="38.25" x14ac:dyDescent="0.25">
      <c r="C149" s="13">
        <v>377000</v>
      </c>
      <c r="D149" s="8" t="s">
        <v>336</v>
      </c>
    </row>
    <row r="150" spans="3:4" ht="38.25" x14ac:dyDescent="0.25">
      <c r="C150" s="13">
        <v>377001</v>
      </c>
      <c r="D150" s="8" t="s">
        <v>336</v>
      </c>
    </row>
    <row r="151" spans="3:4" ht="38.25" x14ac:dyDescent="0.25">
      <c r="C151" s="13">
        <v>378000</v>
      </c>
      <c r="D151" s="8" t="s">
        <v>337</v>
      </c>
    </row>
    <row r="152" spans="3:4" ht="25.5" x14ac:dyDescent="0.25">
      <c r="C152" s="13">
        <v>378001</v>
      </c>
      <c r="D152" s="8" t="s">
        <v>338</v>
      </c>
    </row>
    <row r="153" spans="3:4" ht="38.25" x14ac:dyDescent="0.25">
      <c r="C153" s="13">
        <v>379000</v>
      </c>
      <c r="D153" s="8" t="s">
        <v>339</v>
      </c>
    </row>
    <row r="154" spans="3:4" ht="25.5" x14ac:dyDescent="0.25">
      <c r="C154" s="13">
        <v>379001</v>
      </c>
      <c r="D154" s="8" t="s">
        <v>340</v>
      </c>
    </row>
    <row r="155" spans="3:4" ht="25.5" x14ac:dyDescent="0.25">
      <c r="C155" s="13">
        <v>379002</v>
      </c>
      <c r="D155" s="8" t="s">
        <v>341</v>
      </c>
    </row>
    <row r="156" spans="3:4" ht="25.5" x14ac:dyDescent="0.25">
      <c r="C156" s="13">
        <v>379003</v>
      </c>
      <c r="D156" s="8" t="s">
        <v>342</v>
      </c>
    </row>
    <row r="157" spans="3:4" ht="25.5" x14ac:dyDescent="0.25">
      <c r="C157" s="13">
        <v>380000</v>
      </c>
      <c r="D157" s="8" t="s">
        <v>343</v>
      </c>
    </row>
    <row r="158" spans="3:4" ht="25.5" x14ac:dyDescent="0.25">
      <c r="C158" s="13">
        <v>381000</v>
      </c>
      <c r="D158" s="8" t="s">
        <v>344</v>
      </c>
    </row>
    <row r="159" spans="3:4" ht="51" x14ac:dyDescent="0.25">
      <c r="C159" s="13">
        <v>381001</v>
      </c>
      <c r="D159" s="8" t="s">
        <v>345</v>
      </c>
    </row>
    <row r="160" spans="3:4" ht="25.5" x14ac:dyDescent="0.25">
      <c r="C160" s="13">
        <v>382000</v>
      </c>
      <c r="D160" s="8" t="s">
        <v>346</v>
      </c>
    </row>
    <row r="161" spans="3:4" ht="38.25" x14ac:dyDescent="0.25">
      <c r="C161" s="13">
        <v>382001</v>
      </c>
      <c r="D161" s="8" t="s">
        <v>347</v>
      </c>
    </row>
    <row r="162" spans="3:4" ht="51" x14ac:dyDescent="0.25">
      <c r="C162" s="13">
        <v>382002</v>
      </c>
      <c r="D162" s="8" t="s">
        <v>348</v>
      </c>
    </row>
    <row r="163" spans="3:4" ht="38.25" x14ac:dyDescent="0.25">
      <c r="C163" s="13">
        <v>382003</v>
      </c>
      <c r="D163" s="8" t="s">
        <v>349</v>
      </c>
    </row>
    <row r="164" spans="3:4" ht="25.5" x14ac:dyDescent="0.25">
      <c r="C164" s="13">
        <v>382004</v>
      </c>
      <c r="D164" s="8" t="s">
        <v>350</v>
      </c>
    </row>
    <row r="165" spans="3:4" ht="25.5" x14ac:dyDescent="0.25">
      <c r="C165" s="13">
        <v>383000</v>
      </c>
      <c r="D165" s="8" t="s">
        <v>351</v>
      </c>
    </row>
    <row r="166" spans="3:4" ht="25.5" x14ac:dyDescent="0.25">
      <c r="C166" s="13">
        <v>383001</v>
      </c>
      <c r="D166" s="8" t="s">
        <v>351</v>
      </c>
    </row>
    <row r="167" spans="3:4" x14ac:dyDescent="0.25">
      <c r="C167" s="13">
        <v>384000</v>
      </c>
      <c r="D167" s="8" t="s">
        <v>352</v>
      </c>
    </row>
    <row r="168" spans="3:4" x14ac:dyDescent="0.25">
      <c r="C168" s="13">
        <v>384001</v>
      </c>
      <c r="D168" s="8" t="s">
        <v>352</v>
      </c>
    </row>
    <row r="169" spans="3:4" ht="25.5" x14ac:dyDescent="0.25">
      <c r="C169" s="13">
        <v>385000</v>
      </c>
      <c r="D169" s="8" t="s">
        <v>353</v>
      </c>
    </row>
    <row r="170" spans="3:4" ht="25.5" x14ac:dyDescent="0.25">
      <c r="C170" s="13">
        <v>385001</v>
      </c>
      <c r="D170" s="8" t="s">
        <v>353</v>
      </c>
    </row>
    <row r="171" spans="3:4" ht="25.5" x14ac:dyDescent="0.25">
      <c r="C171" s="13">
        <v>390000</v>
      </c>
      <c r="D171" s="8" t="s">
        <v>354</v>
      </c>
    </row>
    <row r="172" spans="3:4" ht="25.5" x14ac:dyDescent="0.25">
      <c r="C172" s="13">
        <v>391000</v>
      </c>
      <c r="D172" s="8" t="s">
        <v>355</v>
      </c>
    </row>
    <row r="173" spans="3:4" ht="25.5" x14ac:dyDescent="0.25">
      <c r="C173" s="13">
        <v>391001</v>
      </c>
      <c r="D173" s="8" t="s">
        <v>355</v>
      </c>
    </row>
    <row r="174" spans="3:4" ht="25.5" x14ac:dyDescent="0.25">
      <c r="C174" s="13">
        <v>392000</v>
      </c>
      <c r="D174" s="8" t="s">
        <v>356</v>
      </c>
    </row>
    <row r="175" spans="3:4" ht="25.5" x14ac:dyDescent="0.25">
      <c r="C175" s="13">
        <v>392001</v>
      </c>
      <c r="D175" s="8" t="s">
        <v>356</v>
      </c>
    </row>
    <row r="176" spans="3:4" ht="38.25" x14ac:dyDescent="0.25">
      <c r="C176" s="13">
        <v>393000</v>
      </c>
      <c r="D176" s="8" t="s">
        <v>357</v>
      </c>
    </row>
    <row r="177" spans="3:4" ht="38.25" x14ac:dyDescent="0.25">
      <c r="C177" s="15">
        <v>393001</v>
      </c>
      <c r="D177" s="11" t="s">
        <v>357</v>
      </c>
    </row>
    <row r="178" spans="3:4" ht="38.25" x14ac:dyDescent="0.25">
      <c r="C178" s="17">
        <v>394000</v>
      </c>
      <c r="D178" s="8" t="s">
        <v>358</v>
      </c>
    </row>
    <row r="179" spans="3:4" ht="38.25" x14ac:dyDescent="0.25">
      <c r="C179" s="17">
        <v>394001</v>
      </c>
      <c r="D179" s="8" t="s">
        <v>358</v>
      </c>
    </row>
    <row r="180" spans="3:4" ht="38.25" x14ac:dyDescent="0.25">
      <c r="C180" s="17">
        <v>395000</v>
      </c>
      <c r="D180" s="8" t="s">
        <v>359</v>
      </c>
    </row>
    <row r="181" spans="3:4" ht="38.25" x14ac:dyDescent="0.25">
      <c r="C181" s="17">
        <v>395001</v>
      </c>
      <c r="D181" s="8" t="s">
        <v>359</v>
      </c>
    </row>
    <row r="182" spans="3:4" ht="25.5" x14ac:dyDescent="0.25">
      <c r="C182" s="17">
        <v>396000</v>
      </c>
      <c r="D182" s="8" t="s">
        <v>360</v>
      </c>
    </row>
    <row r="183" spans="3:4" ht="25.5" x14ac:dyDescent="0.25">
      <c r="C183" s="17">
        <v>396001</v>
      </c>
      <c r="D183" s="8" t="s">
        <v>360</v>
      </c>
    </row>
    <row r="184" spans="3:4" ht="25.5" x14ac:dyDescent="0.25">
      <c r="C184" s="17">
        <v>399000</v>
      </c>
      <c r="D184" s="8" t="s">
        <v>361</v>
      </c>
    </row>
    <row r="185" spans="3:4" x14ac:dyDescent="0.25">
      <c r="C185" s="17">
        <v>399001</v>
      </c>
      <c r="D185" s="8" t="s">
        <v>362</v>
      </c>
    </row>
    <row r="186" spans="3:4" ht="25.5" x14ac:dyDescent="0.25">
      <c r="C186" s="17">
        <v>399002</v>
      </c>
      <c r="D186" s="8" t="s">
        <v>363</v>
      </c>
    </row>
    <row r="187" spans="3:4" ht="38.25" x14ac:dyDescent="0.25">
      <c r="C187" s="17">
        <v>399003</v>
      </c>
      <c r="D187" s="8" t="s">
        <v>364</v>
      </c>
    </row>
    <row r="188" spans="3:4" ht="25.5" x14ac:dyDescent="0.25">
      <c r="C188" s="17">
        <v>399004</v>
      </c>
      <c r="D188" s="8" t="s">
        <v>365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33"/>
  <sheetViews>
    <sheetView workbookViewId="0"/>
  </sheetViews>
  <sheetFormatPr baseColWidth="10" defaultRowHeight="15" x14ac:dyDescent="0.25"/>
  <cols>
    <col min="2" max="2" width="23.28515625" customWidth="1"/>
    <col min="3" max="3" width="16.140625" customWidth="1"/>
  </cols>
  <sheetData>
    <row r="1" spans="1:3" ht="30" x14ac:dyDescent="0.25">
      <c r="A1" s="28" t="s">
        <v>144</v>
      </c>
      <c r="B1" s="29" t="s">
        <v>145</v>
      </c>
      <c r="C1" s="30" t="s">
        <v>146</v>
      </c>
    </row>
    <row r="2" spans="1:3" ht="51" x14ac:dyDescent="0.25">
      <c r="A2" s="17">
        <v>210000</v>
      </c>
      <c r="B2" s="8" t="s">
        <v>125</v>
      </c>
      <c r="C2" s="9" t="s">
        <v>121</v>
      </c>
    </row>
    <row r="3" spans="1:3" ht="25.5" x14ac:dyDescent="0.25">
      <c r="A3" s="17">
        <v>211000</v>
      </c>
      <c r="B3" s="8" t="s">
        <v>126</v>
      </c>
      <c r="C3" s="9" t="s">
        <v>121</v>
      </c>
    </row>
    <row r="4" spans="1:3" x14ac:dyDescent="0.25">
      <c r="A4" s="17">
        <v>211001</v>
      </c>
      <c r="B4" s="8" t="s">
        <v>127</v>
      </c>
      <c r="C4" s="9" t="s">
        <v>122</v>
      </c>
    </row>
    <row r="5" spans="1:3" ht="25.5" x14ac:dyDescent="0.25">
      <c r="A5" s="17">
        <v>212000</v>
      </c>
      <c r="B5" s="8" t="s">
        <v>128</v>
      </c>
      <c r="C5" s="9" t="s">
        <v>121</v>
      </c>
    </row>
    <row r="6" spans="1:3" ht="25.5" x14ac:dyDescent="0.25">
      <c r="A6" s="17">
        <v>212001</v>
      </c>
      <c r="B6" s="8" t="s">
        <v>129</v>
      </c>
      <c r="C6" s="9" t="s">
        <v>122</v>
      </c>
    </row>
    <row r="7" spans="1:3" ht="25.5" x14ac:dyDescent="0.25">
      <c r="A7" s="17">
        <v>213000</v>
      </c>
      <c r="B7" s="8" t="s">
        <v>130</v>
      </c>
      <c r="C7" s="9" t="s">
        <v>121</v>
      </c>
    </row>
    <row r="8" spans="1:3" ht="25.5" x14ac:dyDescent="0.25">
      <c r="A8" s="17">
        <v>213001</v>
      </c>
      <c r="B8" s="8" t="s">
        <v>130</v>
      </c>
      <c r="C8" s="9" t="s">
        <v>122</v>
      </c>
    </row>
    <row r="9" spans="1:3" ht="51" x14ac:dyDescent="0.25">
      <c r="A9" s="17">
        <v>214000</v>
      </c>
      <c r="B9" s="8" t="s">
        <v>131</v>
      </c>
      <c r="C9" s="9" t="s">
        <v>121</v>
      </c>
    </row>
    <row r="10" spans="1:3" ht="51" x14ac:dyDescent="0.25">
      <c r="A10" s="17">
        <v>214001</v>
      </c>
      <c r="B10" s="8" t="s">
        <v>131</v>
      </c>
      <c r="C10" s="9" t="s">
        <v>122</v>
      </c>
    </row>
    <row r="11" spans="1:3" ht="25.5" x14ac:dyDescent="0.25">
      <c r="A11" s="17">
        <v>215000</v>
      </c>
      <c r="B11" s="8" t="s">
        <v>132</v>
      </c>
      <c r="C11" s="9" t="s">
        <v>121</v>
      </c>
    </row>
    <row r="12" spans="1:3" x14ac:dyDescent="0.25">
      <c r="A12" s="17">
        <v>215001</v>
      </c>
      <c r="B12" s="8" t="s">
        <v>133</v>
      </c>
      <c r="C12" s="9" t="s">
        <v>122</v>
      </c>
    </row>
    <row r="13" spans="1:3" ht="38.25" x14ac:dyDescent="0.25">
      <c r="A13" s="17">
        <v>215002</v>
      </c>
      <c r="B13" s="8" t="s">
        <v>134</v>
      </c>
      <c r="C13" s="9" t="s">
        <v>122</v>
      </c>
    </row>
    <row r="14" spans="1:3" ht="25.5" x14ac:dyDescent="0.25">
      <c r="A14" s="17">
        <v>215003</v>
      </c>
      <c r="B14" s="8" t="s">
        <v>132</v>
      </c>
      <c r="C14" s="9" t="s">
        <v>122</v>
      </c>
    </row>
    <row r="15" spans="1:3" x14ac:dyDescent="0.25">
      <c r="A15" s="17">
        <v>216000</v>
      </c>
      <c r="B15" s="8" t="s">
        <v>135</v>
      </c>
      <c r="C15" s="9" t="s">
        <v>121</v>
      </c>
    </row>
    <row r="16" spans="1:3" x14ac:dyDescent="0.25">
      <c r="A16" s="17">
        <v>216001</v>
      </c>
      <c r="B16" s="8" t="s">
        <v>135</v>
      </c>
      <c r="C16" s="9" t="s">
        <v>122</v>
      </c>
    </row>
    <row r="17" spans="1:3" ht="25.5" x14ac:dyDescent="0.25">
      <c r="A17" s="17">
        <v>217000</v>
      </c>
      <c r="B17" s="8" t="s">
        <v>136</v>
      </c>
      <c r="C17" s="9" t="s">
        <v>121</v>
      </c>
    </row>
    <row r="18" spans="1:3" ht="25.5" x14ac:dyDescent="0.25">
      <c r="A18" s="17">
        <v>217001</v>
      </c>
      <c r="B18" s="8" t="s">
        <v>136</v>
      </c>
      <c r="C18" s="9" t="s">
        <v>122</v>
      </c>
    </row>
    <row r="19" spans="1:3" ht="38.25" x14ac:dyDescent="0.25">
      <c r="A19" s="17">
        <v>218000</v>
      </c>
      <c r="B19" s="8" t="s">
        <v>137</v>
      </c>
      <c r="C19" s="9" t="s">
        <v>121</v>
      </c>
    </row>
    <row r="20" spans="1:3" ht="38.25" x14ac:dyDescent="0.25">
      <c r="A20" s="17">
        <v>218001</v>
      </c>
      <c r="B20" s="8" t="s">
        <v>137</v>
      </c>
      <c r="C20" s="9" t="s">
        <v>122</v>
      </c>
    </row>
    <row r="21" spans="1:3" ht="25.5" x14ac:dyDescent="0.25">
      <c r="A21" s="17">
        <v>218002</v>
      </c>
      <c r="B21" s="8" t="s">
        <v>138</v>
      </c>
      <c r="C21" s="9" t="s">
        <v>122</v>
      </c>
    </row>
    <row r="22" spans="1:3" ht="25.5" x14ac:dyDescent="0.25">
      <c r="A22" s="17">
        <v>218003</v>
      </c>
      <c r="B22" s="8" t="s">
        <v>139</v>
      </c>
      <c r="C22" s="9" t="s">
        <v>122</v>
      </c>
    </row>
    <row r="23" spans="1:3" ht="25.5" x14ac:dyDescent="0.25">
      <c r="A23" s="17">
        <v>218004</v>
      </c>
      <c r="B23" s="8" t="s">
        <v>140</v>
      </c>
      <c r="C23" s="9" t="s">
        <v>122</v>
      </c>
    </row>
    <row r="24" spans="1:3" x14ac:dyDescent="0.25">
      <c r="A24" s="17">
        <v>220000</v>
      </c>
      <c r="B24" s="8" t="s">
        <v>141</v>
      </c>
      <c r="C24" s="9" t="s">
        <v>121</v>
      </c>
    </row>
    <row r="25" spans="1:3" ht="25.5" x14ac:dyDescent="0.25">
      <c r="A25" s="17">
        <v>221000</v>
      </c>
      <c r="B25" s="8" t="s">
        <v>142</v>
      </c>
      <c r="C25" s="9" t="s">
        <v>121</v>
      </c>
    </row>
    <row r="26" spans="1:3" x14ac:dyDescent="0.25">
      <c r="A26" s="17">
        <v>221001</v>
      </c>
      <c r="B26" s="8" t="s">
        <v>143</v>
      </c>
      <c r="C26" s="9" t="s">
        <v>122</v>
      </c>
    </row>
    <row r="27" spans="1:3" ht="25.5" x14ac:dyDescent="0.25">
      <c r="A27" s="17">
        <v>222000</v>
      </c>
      <c r="B27" s="8" t="s">
        <v>147</v>
      </c>
      <c r="C27" s="9" t="s">
        <v>121</v>
      </c>
    </row>
    <row r="28" spans="1:3" x14ac:dyDescent="0.25">
      <c r="A28" s="17">
        <v>222001</v>
      </c>
      <c r="B28" s="8" t="s">
        <v>148</v>
      </c>
      <c r="C28" s="9" t="s">
        <v>122</v>
      </c>
    </row>
    <row r="29" spans="1:3" ht="25.5" x14ac:dyDescent="0.25">
      <c r="A29" s="17">
        <v>223000</v>
      </c>
      <c r="B29" s="8" t="s">
        <v>149</v>
      </c>
      <c r="C29" s="9" t="s">
        <v>121</v>
      </c>
    </row>
    <row r="30" spans="1:3" ht="25.5" x14ac:dyDescent="0.25">
      <c r="A30" s="17">
        <v>223001</v>
      </c>
      <c r="B30" s="8" t="s">
        <v>149</v>
      </c>
      <c r="C30" s="9" t="s">
        <v>122</v>
      </c>
    </row>
    <row r="31" spans="1:3" ht="51" x14ac:dyDescent="0.25">
      <c r="A31" s="17">
        <v>230000</v>
      </c>
      <c r="B31" s="8" t="s">
        <v>150</v>
      </c>
      <c r="C31" s="9" t="s">
        <v>121</v>
      </c>
    </row>
    <row r="32" spans="1:3" ht="51" x14ac:dyDescent="0.25">
      <c r="A32" s="17">
        <v>231000</v>
      </c>
      <c r="B32" s="8" t="s">
        <v>151</v>
      </c>
      <c r="C32" s="9" t="s">
        <v>121</v>
      </c>
    </row>
    <row r="33" spans="1:3" ht="25.5" x14ac:dyDescent="0.25">
      <c r="A33" s="17">
        <v>231001</v>
      </c>
      <c r="B33" s="8" t="s">
        <v>152</v>
      </c>
      <c r="C33" s="9" t="s">
        <v>122</v>
      </c>
    </row>
    <row r="34" spans="1:3" ht="25.5" x14ac:dyDescent="0.25">
      <c r="A34" s="10">
        <v>232000</v>
      </c>
      <c r="B34" s="11" t="s">
        <v>153</v>
      </c>
      <c r="C34" s="16" t="s">
        <v>121</v>
      </c>
    </row>
    <row r="35" spans="1:3" ht="25.5" x14ac:dyDescent="0.25">
      <c r="A35" s="13">
        <v>232001</v>
      </c>
      <c r="B35" s="8" t="s">
        <v>153</v>
      </c>
      <c r="C35" s="9" t="s">
        <v>122</v>
      </c>
    </row>
    <row r="36" spans="1:3" ht="38.25" x14ac:dyDescent="0.25">
      <c r="A36" s="13">
        <v>233000</v>
      </c>
      <c r="B36" s="8" t="s">
        <v>154</v>
      </c>
      <c r="C36" s="9" t="s">
        <v>121</v>
      </c>
    </row>
    <row r="37" spans="1:3" ht="38.25" x14ac:dyDescent="0.25">
      <c r="A37" s="13">
        <v>233001</v>
      </c>
      <c r="B37" s="8" t="s">
        <v>154</v>
      </c>
      <c r="C37" s="9" t="s">
        <v>122</v>
      </c>
    </row>
    <row r="38" spans="1:3" ht="51" x14ac:dyDescent="0.25">
      <c r="A38" s="13">
        <v>234000</v>
      </c>
      <c r="B38" s="8" t="s">
        <v>155</v>
      </c>
      <c r="C38" s="9" t="s">
        <v>121</v>
      </c>
    </row>
    <row r="39" spans="1:3" ht="51" x14ac:dyDescent="0.25">
      <c r="A39" s="13">
        <v>234001</v>
      </c>
      <c r="B39" s="8" t="s">
        <v>155</v>
      </c>
      <c r="C39" s="9" t="s">
        <v>122</v>
      </c>
    </row>
    <row r="40" spans="1:3" ht="51" x14ac:dyDescent="0.25">
      <c r="A40" s="13">
        <v>235000</v>
      </c>
      <c r="B40" s="8" t="s">
        <v>156</v>
      </c>
      <c r="C40" s="9" t="s">
        <v>121</v>
      </c>
    </row>
    <row r="41" spans="1:3" ht="51" x14ac:dyDescent="0.25">
      <c r="A41" s="13">
        <v>235001</v>
      </c>
      <c r="B41" s="8" t="s">
        <v>156</v>
      </c>
      <c r="C41" s="9" t="s">
        <v>122</v>
      </c>
    </row>
    <row r="42" spans="1:3" ht="51" x14ac:dyDescent="0.25">
      <c r="A42" s="13">
        <v>236000</v>
      </c>
      <c r="B42" s="8" t="s">
        <v>157</v>
      </c>
      <c r="C42" s="9" t="s">
        <v>121</v>
      </c>
    </row>
    <row r="43" spans="1:3" ht="51" x14ac:dyDescent="0.25">
      <c r="A43" s="13">
        <v>236001</v>
      </c>
      <c r="B43" s="8" t="s">
        <v>157</v>
      </c>
      <c r="C43" s="9" t="s">
        <v>122</v>
      </c>
    </row>
    <row r="44" spans="1:3" ht="38.25" x14ac:dyDescent="0.25">
      <c r="A44" s="13">
        <v>237000</v>
      </c>
      <c r="B44" s="8" t="s">
        <v>158</v>
      </c>
      <c r="C44" s="9" t="s">
        <v>121</v>
      </c>
    </row>
    <row r="45" spans="1:3" ht="38.25" x14ac:dyDescent="0.25">
      <c r="A45" s="13">
        <v>237001</v>
      </c>
      <c r="B45" s="8" t="s">
        <v>158</v>
      </c>
      <c r="C45" s="9" t="s">
        <v>122</v>
      </c>
    </row>
    <row r="46" spans="1:3" ht="25.5" x14ac:dyDescent="0.25">
      <c r="A46" s="13">
        <v>238000</v>
      </c>
      <c r="B46" s="8" t="s">
        <v>159</v>
      </c>
      <c r="C46" s="9" t="s">
        <v>121</v>
      </c>
    </row>
    <row r="47" spans="1:3" ht="25.5" x14ac:dyDescent="0.25">
      <c r="A47" s="13">
        <v>238001</v>
      </c>
      <c r="B47" s="8" t="s">
        <v>159</v>
      </c>
      <c r="C47" s="9" t="s">
        <v>122</v>
      </c>
    </row>
    <row r="48" spans="1:3" ht="38.25" x14ac:dyDescent="0.25">
      <c r="A48" s="13">
        <v>240000</v>
      </c>
      <c r="B48" s="8" t="s">
        <v>160</v>
      </c>
      <c r="C48" s="9" t="s">
        <v>121</v>
      </c>
    </row>
    <row r="49" spans="1:3" ht="25.5" x14ac:dyDescent="0.25">
      <c r="A49" s="13">
        <v>241000</v>
      </c>
      <c r="B49" s="8" t="s">
        <v>161</v>
      </c>
      <c r="C49" s="9" t="s">
        <v>121</v>
      </c>
    </row>
    <row r="50" spans="1:3" ht="25.5" x14ac:dyDescent="0.25">
      <c r="A50" s="13">
        <v>241001</v>
      </c>
      <c r="B50" s="8" t="s">
        <v>161</v>
      </c>
      <c r="C50" s="9" t="s">
        <v>122</v>
      </c>
    </row>
    <row r="51" spans="1:3" ht="25.5" x14ac:dyDescent="0.25">
      <c r="A51" s="13">
        <v>242000</v>
      </c>
      <c r="B51" s="8" t="s">
        <v>162</v>
      </c>
      <c r="C51" s="9" t="s">
        <v>121</v>
      </c>
    </row>
    <row r="52" spans="1:3" ht="25.5" x14ac:dyDescent="0.25">
      <c r="A52" s="13">
        <v>242001</v>
      </c>
      <c r="B52" s="8" t="s">
        <v>162</v>
      </c>
      <c r="C52" s="9" t="s">
        <v>122</v>
      </c>
    </row>
    <row r="53" spans="1:3" ht="25.5" x14ac:dyDescent="0.25">
      <c r="A53" s="13">
        <v>243000</v>
      </c>
      <c r="B53" s="8" t="s">
        <v>163</v>
      </c>
      <c r="C53" s="9" t="s">
        <v>121</v>
      </c>
    </row>
    <row r="54" spans="1:3" ht="25.5" x14ac:dyDescent="0.25">
      <c r="A54" s="13">
        <v>243001</v>
      </c>
      <c r="B54" s="8" t="s">
        <v>163</v>
      </c>
      <c r="C54" s="9" t="s">
        <v>122</v>
      </c>
    </row>
    <row r="55" spans="1:3" ht="25.5" x14ac:dyDescent="0.25">
      <c r="A55" s="13">
        <v>244000</v>
      </c>
      <c r="B55" s="8" t="s">
        <v>164</v>
      </c>
      <c r="C55" s="9" t="s">
        <v>121</v>
      </c>
    </row>
    <row r="56" spans="1:3" ht="25.5" x14ac:dyDescent="0.25">
      <c r="A56" s="13">
        <v>244001</v>
      </c>
      <c r="B56" s="8" t="s">
        <v>164</v>
      </c>
      <c r="C56" s="9" t="s">
        <v>122</v>
      </c>
    </row>
    <row r="57" spans="1:3" x14ac:dyDescent="0.25">
      <c r="A57" s="13">
        <v>245000</v>
      </c>
      <c r="B57" s="8" t="s">
        <v>165</v>
      </c>
      <c r="C57" s="9" t="s">
        <v>121</v>
      </c>
    </row>
    <row r="58" spans="1:3" x14ac:dyDescent="0.25">
      <c r="A58" s="13">
        <v>245001</v>
      </c>
      <c r="B58" s="8" t="s">
        <v>165</v>
      </c>
      <c r="C58" s="9" t="s">
        <v>122</v>
      </c>
    </row>
    <row r="59" spans="1:3" ht="25.5" x14ac:dyDescent="0.25">
      <c r="A59" s="13">
        <v>246000</v>
      </c>
      <c r="B59" s="8" t="s">
        <v>166</v>
      </c>
      <c r="C59" s="9" t="s">
        <v>121</v>
      </c>
    </row>
    <row r="60" spans="1:3" x14ac:dyDescent="0.25">
      <c r="A60" s="13">
        <v>246001</v>
      </c>
      <c r="B60" s="8" t="s">
        <v>167</v>
      </c>
      <c r="C60" s="9" t="s">
        <v>122</v>
      </c>
    </row>
    <row r="61" spans="1:3" x14ac:dyDescent="0.25">
      <c r="A61" s="13">
        <v>246002</v>
      </c>
      <c r="B61" s="8" t="s">
        <v>168</v>
      </c>
      <c r="C61" s="9" t="s">
        <v>122</v>
      </c>
    </row>
    <row r="62" spans="1:3" ht="25.5" x14ac:dyDescent="0.25">
      <c r="A62" s="13">
        <v>247000</v>
      </c>
      <c r="B62" s="8" t="s">
        <v>169</v>
      </c>
      <c r="C62" s="9" t="s">
        <v>121</v>
      </c>
    </row>
    <row r="63" spans="1:3" ht="25.5" x14ac:dyDescent="0.25">
      <c r="A63" s="13">
        <v>247001</v>
      </c>
      <c r="B63" s="8" t="s">
        <v>169</v>
      </c>
      <c r="C63" s="9" t="s">
        <v>122</v>
      </c>
    </row>
    <row r="64" spans="1:3" ht="25.5" x14ac:dyDescent="0.25">
      <c r="A64" s="13">
        <v>248000</v>
      </c>
      <c r="B64" s="8" t="s">
        <v>170</v>
      </c>
      <c r="C64" s="9" t="s">
        <v>121</v>
      </c>
    </row>
    <row r="65" spans="1:3" ht="25.5" x14ac:dyDescent="0.25">
      <c r="A65" s="13">
        <v>248001</v>
      </c>
      <c r="B65" s="8" t="s">
        <v>170</v>
      </c>
      <c r="C65" s="9" t="s">
        <v>122</v>
      </c>
    </row>
    <row r="66" spans="1:3" ht="38.25" x14ac:dyDescent="0.25">
      <c r="A66" s="13">
        <v>249000</v>
      </c>
      <c r="B66" s="8" t="s">
        <v>171</v>
      </c>
      <c r="C66" s="9" t="s">
        <v>121</v>
      </c>
    </row>
    <row r="67" spans="1:3" ht="25.5" x14ac:dyDescent="0.25">
      <c r="A67" s="13">
        <v>249001</v>
      </c>
      <c r="B67" s="8" t="s">
        <v>172</v>
      </c>
      <c r="C67" s="9" t="s">
        <v>122</v>
      </c>
    </row>
    <row r="68" spans="1:3" ht="25.5" x14ac:dyDescent="0.25">
      <c r="A68" s="13">
        <v>249002</v>
      </c>
      <c r="B68" s="8" t="s">
        <v>173</v>
      </c>
      <c r="C68" s="9" t="s">
        <v>122</v>
      </c>
    </row>
    <row r="69" spans="1:3" ht="38.25" x14ac:dyDescent="0.25">
      <c r="A69" s="13">
        <v>250000</v>
      </c>
      <c r="B69" s="8" t="s">
        <v>174</v>
      </c>
      <c r="C69" s="9" t="s">
        <v>121</v>
      </c>
    </row>
    <row r="70" spans="1:3" ht="25.5" x14ac:dyDescent="0.25">
      <c r="A70" s="13">
        <v>251000</v>
      </c>
      <c r="B70" s="8" t="s">
        <v>175</v>
      </c>
      <c r="C70" s="9" t="s">
        <v>121</v>
      </c>
    </row>
    <row r="71" spans="1:3" x14ac:dyDescent="0.25">
      <c r="A71" s="10">
        <v>251001</v>
      </c>
      <c r="B71" s="11" t="s">
        <v>176</v>
      </c>
      <c r="C71" s="16" t="s">
        <v>122</v>
      </c>
    </row>
    <row r="72" spans="1:3" ht="25.5" x14ac:dyDescent="0.25">
      <c r="A72" s="13">
        <v>252000</v>
      </c>
      <c r="B72" s="8" t="s">
        <v>177</v>
      </c>
      <c r="C72" s="9" t="s">
        <v>121</v>
      </c>
    </row>
    <row r="73" spans="1:3" ht="25.5" x14ac:dyDescent="0.25">
      <c r="A73" s="13">
        <v>252001</v>
      </c>
      <c r="B73" s="8" t="s">
        <v>177</v>
      </c>
      <c r="C73" s="9" t="s">
        <v>122</v>
      </c>
    </row>
    <row r="74" spans="1:3" ht="25.5" x14ac:dyDescent="0.25">
      <c r="A74" s="13">
        <v>253000</v>
      </c>
      <c r="B74" s="8" t="s">
        <v>178</v>
      </c>
      <c r="C74" s="9" t="s">
        <v>121</v>
      </c>
    </row>
    <row r="75" spans="1:3" ht="25.5" x14ac:dyDescent="0.25">
      <c r="A75" s="13">
        <v>253001</v>
      </c>
      <c r="B75" s="8" t="s">
        <v>179</v>
      </c>
      <c r="C75" s="9" t="s">
        <v>122</v>
      </c>
    </row>
    <row r="76" spans="1:3" ht="25.5" x14ac:dyDescent="0.25">
      <c r="A76" s="13">
        <v>254000</v>
      </c>
      <c r="B76" s="8" t="s">
        <v>180</v>
      </c>
      <c r="C76" s="9" t="s">
        <v>121</v>
      </c>
    </row>
    <row r="77" spans="1:3" ht="25.5" x14ac:dyDescent="0.25">
      <c r="A77" s="13">
        <v>254001</v>
      </c>
      <c r="B77" s="8" t="s">
        <v>180</v>
      </c>
      <c r="C77" s="9" t="s">
        <v>122</v>
      </c>
    </row>
    <row r="78" spans="1:3" ht="25.5" x14ac:dyDescent="0.25">
      <c r="A78" s="13">
        <v>255000</v>
      </c>
      <c r="B78" s="8" t="s">
        <v>181</v>
      </c>
      <c r="C78" s="9" t="s">
        <v>121</v>
      </c>
    </row>
    <row r="79" spans="1:3" ht="25.5" x14ac:dyDescent="0.25">
      <c r="A79" s="13">
        <v>255001</v>
      </c>
      <c r="B79" s="8" t="s">
        <v>181</v>
      </c>
      <c r="C79" s="9" t="s">
        <v>122</v>
      </c>
    </row>
    <row r="80" spans="1:3" ht="25.5" x14ac:dyDescent="0.25">
      <c r="A80" s="13">
        <v>256000</v>
      </c>
      <c r="B80" s="8" t="s">
        <v>182</v>
      </c>
      <c r="C80" s="9" t="s">
        <v>121</v>
      </c>
    </row>
    <row r="81" spans="1:3" ht="25.5" x14ac:dyDescent="0.25">
      <c r="A81" s="13">
        <v>256001</v>
      </c>
      <c r="B81" s="8" t="s">
        <v>182</v>
      </c>
      <c r="C81" s="9" t="s">
        <v>122</v>
      </c>
    </row>
    <row r="82" spans="1:3" x14ac:dyDescent="0.25">
      <c r="A82" s="13">
        <v>259000</v>
      </c>
      <c r="B82" s="8" t="s">
        <v>183</v>
      </c>
      <c r="C82" s="9" t="s">
        <v>121</v>
      </c>
    </row>
    <row r="83" spans="1:3" x14ac:dyDescent="0.25">
      <c r="A83" s="13">
        <v>259001</v>
      </c>
      <c r="B83" s="8" t="s">
        <v>183</v>
      </c>
      <c r="C83" s="9" t="s">
        <v>122</v>
      </c>
    </row>
    <row r="84" spans="1:3" ht="25.5" x14ac:dyDescent="0.25">
      <c r="A84" s="13">
        <v>260000</v>
      </c>
      <c r="B84" s="8" t="s">
        <v>184</v>
      </c>
      <c r="C84" s="9" t="s">
        <v>121</v>
      </c>
    </row>
    <row r="85" spans="1:3" ht="25.5" x14ac:dyDescent="0.25">
      <c r="A85" s="13">
        <v>261000</v>
      </c>
      <c r="B85" s="8" t="s">
        <v>185</v>
      </c>
      <c r="C85" s="9" t="s">
        <v>121</v>
      </c>
    </row>
    <row r="86" spans="1:3" x14ac:dyDescent="0.25">
      <c r="A86" s="13">
        <v>261001</v>
      </c>
      <c r="B86" s="8" t="s">
        <v>186</v>
      </c>
      <c r="C86" s="9" t="s">
        <v>122</v>
      </c>
    </row>
    <row r="87" spans="1:3" x14ac:dyDescent="0.25">
      <c r="A87" s="13">
        <v>261002</v>
      </c>
      <c r="B87" s="8" t="s">
        <v>187</v>
      </c>
      <c r="C87" s="9" t="s">
        <v>122</v>
      </c>
    </row>
    <row r="88" spans="1:3" x14ac:dyDescent="0.25">
      <c r="A88" s="13">
        <v>262000</v>
      </c>
      <c r="B88" s="8" t="s">
        <v>188</v>
      </c>
      <c r="C88" s="9" t="s">
        <v>121</v>
      </c>
    </row>
    <row r="89" spans="1:3" x14ac:dyDescent="0.25">
      <c r="A89" s="13">
        <v>262001</v>
      </c>
      <c r="B89" s="8" t="s">
        <v>188</v>
      </c>
      <c r="C89" s="9" t="s">
        <v>122</v>
      </c>
    </row>
    <row r="90" spans="1:3" ht="38.25" x14ac:dyDescent="0.25">
      <c r="A90" s="13">
        <v>270000</v>
      </c>
      <c r="B90" s="8" t="s">
        <v>189</v>
      </c>
      <c r="C90" s="9" t="s">
        <v>121</v>
      </c>
    </row>
    <row r="91" spans="1:3" x14ac:dyDescent="0.25">
      <c r="A91" s="13">
        <v>271000</v>
      </c>
      <c r="B91" s="8" t="s">
        <v>190</v>
      </c>
      <c r="C91" s="9" t="s">
        <v>121</v>
      </c>
    </row>
    <row r="92" spans="1:3" x14ac:dyDescent="0.25">
      <c r="A92" s="13">
        <v>271001</v>
      </c>
      <c r="B92" s="8" t="s">
        <v>191</v>
      </c>
      <c r="C92" s="9" t="s">
        <v>122</v>
      </c>
    </row>
    <row r="93" spans="1:3" ht="25.5" x14ac:dyDescent="0.25">
      <c r="A93" s="13">
        <v>272000</v>
      </c>
      <c r="B93" s="8" t="s">
        <v>192</v>
      </c>
      <c r="C93" s="9" t="s">
        <v>121</v>
      </c>
    </row>
    <row r="94" spans="1:3" ht="25.5" x14ac:dyDescent="0.25">
      <c r="A94" s="13">
        <v>272001</v>
      </c>
      <c r="B94" s="8" t="s">
        <v>193</v>
      </c>
      <c r="C94" s="9" t="s">
        <v>122</v>
      </c>
    </row>
    <row r="95" spans="1:3" ht="25.5" x14ac:dyDescent="0.25">
      <c r="A95" s="13">
        <v>272002</v>
      </c>
      <c r="B95" s="8" t="s">
        <v>192</v>
      </c>
      <c r="C95" s="9" t="s">
        <v>122</v>
      </c>
    </row>
    <row r="96" spans="1:3" x14ac:dyDescent="0.25">
      <c r="A96" s="13">
        <v>273000</v>
      </c>
      <c r="B96" s="8" t="s">
        <v>194</v>
      </c>
      <c r="C96" s="9" t="s">
        <v>121</v>
      </c>
    </row>
    <row r="97" spans="1:3" x14ac:dyDescent="0.25">
      <c r="A97" s="13">
        <v>273001</v>
      </c>
      <c r="B97" s="8" t="s">
        <v>194</v>
      </c>
      <c r="C97" s="9" t="s">
        <v>122</v>
      </c>
    </row>
    <row r="98" spans="1:3" x14ac:dyDescent="0.25">
      <c r="A98" s="13">
        <v>274000</v>
      </c>
      <c r="B98" s="8" t="s">
        <v>195</v>
      </c>
      <c r="C98" s="9" t="s">
        <v>121</v>
      </c>
    </row>
    <row r="99" spans="1:3" x14ac:dyDescent="0.25">
      <c r="A99" s="13">
        <v>274001</v>
      </c>
      <c r="B99" s="8" t="s">
        <v>195</v>
      </c>
      <c r="C99" s="9" t="s">
        <v>122</v>
      </c>
    </row>
    <row r="100" spans="1:3" ht="38.25" x14ac:dyDescent="0.25">
      <c r="A100" s="13">
        <v>275000</v>
      </c>
      <c r="B100" s="8" t="s">
        <v>196</v>
      </c>
      <c r="C100" s="9" t="s">
        <v>121</v>
      </c>
    </row>
    <row r="101" spans="1:3" ht="38.25" x14ac:dyDescent="0.25">
      <c r="A101" s="13">
        <v>275001</v>
      </c>
      <c r="B101" s="8" t="s">
        <v>196</v>
      </c>
      <c r="C101" s="9" t="s">
        <v>122</v>
      </c>
    </row>
    <row r="102" spans="1:3" ht="25.5" x14ac:dyDescent="0.25">
      <c r="A102" s="13">
        <v>280000</v>
      </c>
      <c r="B102" s="8" t="s">
        <v>197</v>
      </c>
      <c r="C102" s="9" t="s">
        <v>121</v>
      </c>
    </row>
    <row r="103" spans="1:3" ht="25.5" x14ac:dyDescent="0.25">
      <c r="A103" s="13">
        <v>281000</v>
      </c>
      <c r="B103" s="8" t="s">
        <v>198</v>
      </c>
      <c r="C103" s="9" t="s">
        <v>121</v>
      </c>
    </row>
    <row r="104" spans="1:3" ht="25.5" x14ac:dyDescent="0.25">
      <c r="A104" s="13">
        <v>281001</v>
      </c>
      <c r="B104" s="8" t="s">
        <v>198</v>
      </c>
      <c r="C104" s="9" t="s">
        <v>122</v>
      </c>
    </row>
    <row r="105" spans="1:3" ht="25.5" x14ac:dyDescent="0.25">
      <c r="A105" s="13">
        <v>282000</v>
      </c>
      <c r="B105" s="8" t="s">
        <v>199</v>
      </c>
      <c r="C105" s="9" t="s">
        <v>121</v>
      </c>
    </row>
    <row r="106" spans="1:3" ht="25.5" x14ac:dyDescent="0.25">
      <c r="A106" s="13">
        <v>282001</v>
      </c>
      <c r="B106" s="8" t="s">
        <v>199</v>
      </c>
      <c r="C106" s="9" t="s">
        <v>122</v>
      </c>
    </row>
    <row r="107" spans="1:3" ht="38.25" x14ac:dyDescent="0.25">
      <c r="A107" s="13">
        <v>283000</v>
      </c>
      <c r="B107" s="8" t="s">
        <v>200</v>
      </c>
      <c r="C107" s="9" t="s">
        <v>121</v>
      </c>
    </row>
    <row r="108" spans="1:3" ht="25.5" x14ac:dyDescent="0.25">
      <c r="A108" s="13">
        <v>283001</v>
      </c>
      <c r="B108" s="8" t="s">
        <v>201</v>
      </c>
      <c r="C108" s="9" t="s">
        <v>122</v>
      </c>
    </row>
    <row r="109" spans="1:3" ht="38.25" x14ac:dyDescent="0.25">
      <c r="A109" s="13">
        <v>290000</v>
      </c>
      <c r="B109" s="8" t="s">
        <v>202</v>
      </c>
      <c r="C109" s="9" t="s">
        <v>121</v>
      </c>
    </row>
    <row r="110" spans="1:3" x14ac:dyDescent="0.25">
      <c r="A110" s="13">
        <v>291000</v>
      </c>
      <c r="B110" s="8" t="s">
        <v>203</v>
      </c>
      <c r="C110" s="9" t="s">
        <v>121</v>
      </c>
    </row>
    <row r="111" spans="1:3" ht="25.5" x14ac:dyDescent="0.25">
      <c r="A111" s="13">
        <v>291001</v>
      </c>
      <c r="B111" s="8" t="s">
        <v>204</v>
      </c>
      <c r="C111" s="9" t="s">
        <v>122</v>
      </c>
    </row>
    <row r="112" spans="1:3" ht="25.5" x14ac:dyDescent="0.25">
      <c r="A112" s="13">
        <v>292000</v>
      </c>
      <c r="B112" s="8" t="s">
        <v>205</v>
      </c>
      <c r="C112" s="9" t="s">
        <v>121</v>
      </c>
    </row>
    <row r="113" spans="1:3" ht="51" x14ac:dyDescent="0.25">
      <c r="A113" s="15">
        <v>292001</v>
      </c>
      <c r="B113" s="11" t="s">
        <v>206</v>
      </c>
      <c r="C113" s="16" t="s">
        <v>122</v>
      </c>
    </row>
    <row r="114" spans="1:3" ht="51" x14ac:dyDescent="0.25">
      <c r="A114" s="17">
        <v>293000</v>
      </c>
      <c r="B114" s="8" t="s">
        <v>207</v>
      </c>
      <c r="C114" s="9" t="s">
        <v>121</v>
      </c>
    </row>
    <row r="115" spans="1:3" ht="51" x14ac:dyDescent="0.25">
      <c r="A115" s="17">
        <v>293001</v>
      </c>
      <c r="B115" s="8" t="s">
        <v>207</v>
      </c>
      <c r="C115" s="9" t="s">
        <v>122</v>
      </c>
    </row>
    <row r="116" spans="1:3" ht="51" x14ac:dyDescent="0.25">
      <c r="A116" s="17">
        <v>294000</v>
      </c>
      <c r="B116" s="8" t="s">
        <v>208</v>
      </c>
      <c r="C116" s="9" t="s">
        <v>121</v>
      </c>
    </row>
    <row r="117" spans="1:3" ht="38.25" x14ac:dyDescent="0.25">
      <c r="A117" s="17">
        <v>294001</v>
      </c>
      <c r="B117" s="8" t="s">
        <v>209</v>
      </c>
      <c r="C117" s="9" t="s">
        <v>122</v>
      </c>
    </row>
    <row r="118" spans="1:3" ht="38.25" x14ac:dyDescent="0.25">
      <c r="A118" s="17">
        <v>294002</v>
      </c>
      <c r="B118" s="8" t="s">
        <v>210</v>
      </c>
      <c r="C118" s="9" t="s">
        <v>122</v>
      </c>
    </row>
    <row r="119" spans="1:3" ht="51" x14ac:dyDescent="0.25">
      <c r="A119" s="17">
        <v>295000</v>
      </c>
      <c r="B119" s="8" t="s">
        <v>211</v>
      </c>
      <c r="C119" s="9" t="s">
        <v>121</v>
      </c>
    </row>
    <row r="120" spans="1:3" ht="51" x14ac:dyDescent="0.25">
      <c r="A120" s="17">
        <v>295001</v>
      </c>
      <c r="B120" s="8" t="s">
        <v>211</v>
      </c>
      <c r="C120" s="9" t="s">
        <v>122</v>
      </c>
    </row>
    <row r="121" spans="1:3" ht="38.25" x14ac:dyDescent="0.25">
      <c r="A121" s="17">
        <v>296000</v>
      </c>
      <c r="B121" s="8" t="s">
        <v>212</v>
      </c>
      <c r="C121" s="9" t="s">
        <v>121</v>
      </c>
    </row>
    <row r="122" spans="1:3" ht="25.5" x14ac:dyDescent="0.25">
      <c r="A122" s="17">
        <v>296001</v>
      </c>
      <c r="B122" s="8" t="s">
        <v>213</v>
      </c>
      <c r="C122" s="9" t="s">
        <v>122</v>
      </c>
    </row>
    <row r="123" spans="1:3" ht="38.25" x14ac:dyDescent="0.25">
      <c r="A123" s="17">
        <v>297000</v>
      </c>
      <c r="B123" s="8" t="s">
        <v>214</v>
      </c>
      <c r="C123" s="9" t="s">
        <v>121</v>
      </c>
    </row>
    <row r="124" spans="1:3" ht="38.25" x14ac:dyDescent="0.25">
      <c r="A124" s="17">
        <v>297001</v>
      </c>
      <c r="B124" s="8" t="s">
        <v>214</v>
      </c>
      <c r="C124" s="9" t="s">
        <v>122</v>
      </c>
    </row>
    <row r="125" spans="1:3" ht="38.25" x14ac:dyDescent="0.25">
      <c r="A125" s="17">
        <v>298000</v>
      </c>
      <c r="B125" s="8" t="s">
        <v>215</v>
      </c>
      <c r="C125" s="9" t="s">
        <v>121</v>
      </c>
    </row>
    <row r="126" spans="1:3" ht="38.25" x14ac:dyDescent="0.25">
      <c r="A126" s="17">
        <v>298001</v>
      </c>
      <c r="B126" s="8" t="s">
        <v>215</v>
      </c>
      <c r="C126" s="9" t="s">
        <v>122</v>
      </c>
    </row>
    <row r="127" spans="1:3" ht="38.25" x14ac:dyDescent="0.25">
      <c r="A127" s="17">
        <v>299000</v>
      </c>
      <c r="B127" s="8" t="s">
        <v>216</v>
      </c>
      <c r="C127" s="9" t="s">
        <v>121</v>
      </c>
    </row>
    <row r="128" spans="1:3" ht="38.25" x14ac:dyDescent="0.25">
      <c r="A128" s="17">
        <v>299001</v>
      </c>
      <c r="B128" s="8" t="s">
        <v>216</v>
      </c>
      <c r="C128" s="9" t="s">
        <v>122</v>
      </c>
    </row>
    <row r="129" spans="1:3" ht="15.75" x14ac:dyDescent="0.25">
      <c r="A129" s="18">
        <v>300000</v>
      </c>
      <c r="B129" s="19" t="s">
        <v>217</v>
      </c>
      <c r="C129" s="20" t="s">
        <v>124</v>
      </c>
    </row>
    <row r="130" spans="1:3" x14ac:dyDescent="0.25">
      <c r="A130" s="17">
        <v>310000</v>
      </c>
      <c r="B130" s="8" t="s">
        <v>218</v>
      </c>
      <c r="C130" s="9" t="s">
        <v>121</v>
      </c>
    </row>
    <row r="131" spans="1:3" x14ac:dyDescent="0.25">
      <c r="A131" s="17">
        <v>311000</v>
      </c>
      <c r="B131" s="8" t="s">
        <v>219</v>
      </c>
      <c r="C131" s="9" t="s">
        <v>121</v>
      </c>
    </row>
    <row r="132" spans="1:3" x14ac:dyDescent="0.25">
      <c r="A132" s="17">
        <v>311001</v>
      </c>
      <c r="B132" s="8" t="s">
        <v>220</v>
      </c>
      <c r="C132" s="9" t="s">
        <v>122</v>
      </c>
    </row>
    <row r="133" spans="1:3" ht="25.5" x14ac:dyDescent="0.25">
      <c r="A133" s="17">
        <v>311002</v>
      </c>
      <c r="B133" s="8" t="s">
        <v>221</v>
      </c>
      <c r="C133" s="9" t="s">
        <v>122</v>
      </c>
    </row>
    <row r="134" spans="1:3" x14ac:dyDescent="0.25">
      <c r="A134" s="17">
        <v>312000</v>
      </c>
      <c r="B134" s="8" t="s">
        <v>222</v>
      </c>
      <c r="C134" s="9" t="s">
        <v>121</v>
      </c>
    </row>
    <row r="135" spans="1:3" x14ac:dyDescent="0.25">
      <c r="A135" s="17">
        <v>312001</v>
      </c>
      <c r="B135" s="8" t="s">
        <v>223</v>
      </c>
      <c r="C135" s="9" t="s">
        <v>122</v>
      </c>
    </row>
    <row r="136" spans="1:3" x14ac:dyDescent="0.25">
      <c r="A136" s="17">
        <v>313000</v>
      </c>
      <c r="B136" s="8" t="s">
        <v>224</v>
      </c>
      <c r="C136" s="9" t="s">
        <v>121</v>
      </c>
    </row>
    <row r="137" spans="1:3" x14ac:dyDescent="0.25">
      <c r="A137" s="17">
        <v>313001</v>
      </c>
      <c r="B137" s="8" t="s">
        <v>225</v>
      </c>
      <c r="C137" s="9" t="s">
        <v>122</v>
      </c>
    </row>
    <row r="138" spans="1:3" ht="25.5" x14ac:dyDescent="0.25">
      <c r="A138" s="17">
        <v>313002</v>
      </c>
      <c r="B138" s="8" t="s">
        <v>226</v>
      </c>
      <c r="C138" s="9" t="s">
        <v>122</v>
      </c>
    </row>
    <row r="139" spans="1:3" x14ac:dyDescent="0.25">
      <c r="A139" s="17">
        <v>314000</v>
      </c>
      <c r="B139" s="8" t="s">
        <v>227</v>
      </c>
      <c r="C139" s="9" t="s">
        <v>121</v>
      </c>
    </row>
    <row r="140" spans="1:3" x14ac:dyDescent="0.25">
      <c r="A140" s="17">
        <v>314001</v>
      </c>
      <c r="B140" s="8" t="s">
        <v>228</v>
      </c>
      <c r="C140" s="9" t="s">
        <v>122</v>
      </c>
    </row>
    <row r="141" spans="1:3" x14ac:dyDescent="0.25">
      <c r="A141" s="17">
        <v>315000</v>
      </c>
      <c r="B141" s="8" t="s">
        <v>229</v>
      </c>
      <c r="C141" s="9" t="s">
        <v>121</v>
      </c>
    </row>
    <row r="142" spans="1:3" x14ac:dyDescent="0.25">
      <c r="A142" s="17">
        <v>315001</v>
      </c>
      <c r="B142" s="8" t="s">
        <v>229</v>
      </c>
      <c r="C142" s="9" t="s">
        <v>122</v>
      </c>
    </row>
    <row r="143" spans="1:3" ht="38.25" x14ac:dyDescent="0.25">
      <c r="A143" s="17">
        <v>316000</v>
      </c>
      <c r="B143" s="8" t="s">
        <v>230</v>
      </c>
      <c r="C143" s="9" t="s">
        <v>121</v>
      </c>
    </row>
    <row r="144" spans="1:3" ht="38.25" x14ac:dyDescent="0.25">
      <c r="A144" s="17">
        <v>316001</v>
      </c>
      <c r="B144" s="8" t="s">
        <v>230</v>
      </c>
      <c r="C144" s="9" t="s">
        <v>122</v>
      </c>
    </row>
    <row r="145" spans="1:3" ht="51" x14ac:dyDescent="0.25">
      <c r="A145" s="17">
        <v>317000</v>
      </c>
      <c r="B145" s="8" t="s">
        <v>231</v>
      </c>
      <c r="C145" s="9" t="s">
        <v>121</v>
      </c>
    </row>
    <row r="146" spans="1:3" ht="51" x14ac:dyDescent="0.25">
      <c r="A146" s="17">
        <v>317001</v>
      </c>
      <c r="B146" s="8" t="s">
        <v>231</v>
      </c>
      <c r="C146" s="9" t="s">
        <v>122</v>
      </c>
    </row>
    <row r="147" spans="1:3" ht="25.5" x14ac:dyDescent="0.25">
      <c r="A147" s="17">
        <v>318000</v>
      </c>
      <c r="B147" s="8" t="s">
        <v>232</v>
      </c>
      <c r="C147" s="9" t="s">
        <v>121</v>
      </c>
    </row>
    <row r="148" spans="1:3" x14ac:dyDescent="0.25">
      <c r="A148" s="17">
        <v>318001</v>
      </c>
      <c r="B148" s="8" t="s">
        <v>233</v>
      </c>
      <c r="C148" s="9" t="s">
        <v>122</v>
      </c>
    </row>
    <row r="149" spans="1:3" ht="25.5" x14ac:dyDescent="0.25">
      <c r="A149" s="17">
        <v>319000</v>
      </c>
      <c r="B149" s="8" t="s">
        <v>234</v>
      </c>
      <c r="C149" s="9" t="s">
        <v>121</v>
      </c>
    </row>
    <row r="150" spans="1:3" x14ac:dyDescent="0.25">
      <c r="A150" s="10">
        <v>319001</v>
      </c>
      <c r="B150" s="11" t="s">
        <v>235</v>
      </c>
      <c r="C150" s="16" t="s">
        <v>122</v>
      </c>
    </row>
    <row r="151" spans="1:3" ht="25.5" x14ac:dyDescent="0.25">
      <c r="A151" s="13">
        <v>320000</v>
      </c>
      <c r="B151" s="8" t="s">
        <v>236</v>
      </c>
      <c r="C151" s="9" t="s">
        <v>121</v>
      </c>
    </row>
    <row r="152" spans="1:3" x14ac:dyDescent="0.25">
      <c r="A152" s="13">
        <v>321000</v>
      </c>
      <c r="B152" s="8" t="s">
        <v>237</v>
      </c>
      <c r="C152" s="9" t="s">
        <v>121</v>
      </c>
    </row>
    <row r="153" spans="1:3" x14ac:dyDescent="0.25">
      <c r="A153" s="13">
        <v>321001</v>
      </c>
      <c r="B153" s="8" t="s">
        <v>237</v>
      </c>
      <c r="C153" s="9" t="s">
        <v>122</v>
      </c>
    </row>
    <row r="154" spans="1:3" x14ac:dyDescent="0.25">
      <c r="A154" s="13">
        <v>322000</v>
      </c>
      <c r="B154" s="8" t="s">
        <v>238</v>
      </c>
      <c r="C154" s="9" t="s">
        <v>121</v>
      </c>
    </row>
    <row r="155" spans="1:3" x14ac:dyDescent="0.25">
      <c r="A155" s="13">
        <v>322001</v>
      </c>
      <c r="B155" s="8" t="s">
        <v>238</v>
      </c>
      <c r="C155" s="9" t="s">
        <v>122</v>
      </c>
    </row>
    <row r="156" spans="1:3" ht="51" x14ac:dyDescent="0.25">
      <c r="A156" s="13">
        <v>323000</v>
      </c>
      <c r="B156" s="8" t="s">
        <v>239</v>
      </c>
      <c r="C156" s="9" t="s">
        <v>121</v>
      </c>
    </row>
    <row r="157" spans="1:3" ht="25.5" x14ac:dyDescent="0.25">
      <c r="A157" s="13">
        <v>323001</v>
      </c>
      <c r="B157" s="8" t="s">
        <v>240</v>
      </c>
      <c r="C157" s="9" t="s">
        <v>122</v>
      </c>
    </row>
    <row r="158" spans="1:3" ht="38.25" x14ac:dyDescent="0.25">
      <c r="A158" s="13">
        <v>323002</v>
      </c>
      <c r="B158" s="8" t="s">
        <v>241</v>
      </c>
      <c r="C158" s="9" t="s">
        <v>122</v>
      </c>
    </row>
    <row r="159" spans="1:3" ht="25.5" x14ac:dyDescent="0.25">
      <c r="A159" s="13">
        <v>323003</v>
      </c>
      <c r="B159" s="8" t="s">
        <v>242</v>
      </c>
      <c r="C159" s="9" t="s">
        <v>122</v>
      </c>
    </row>
    <row r="160" spans="1:3" ht="25.5" x14ac:dyDescent="0.25">
      <c r="A160" s="13">
        <v>323004</v>
      </c>
      <c r="B160" s="8" t="s">
        <v>243</v>
      </c>
      <c r="C160" s="9" t="s">
        <v>122</v>
      </c>
    </row>
    <row r="161" spans="1:3" ht="38.25" x14ac:dyDescent="0.25">
      <c r="A161" s="13">
        <v>324000</v>
      </c>
      <c r="B161" s="8" t="s">
        <v>244</v>
      </c>
      <c r="C161" s="9" t="s">
        <v>121</v>
      </c>
    </row>
    <row r="162" spans="1:3" ht="38.25" x14ac:dyDescent="0.25">
      <c r="A162" s="13">
        <v>324001</v>
      </c>
      <c r="B162" s="8" t="s">
        <v>244</v>
      </c>
      <c r="C162" s="9" t="s">
        <v>122</v>
      </c>
    </row>
    <row r="163" spans="1:3" ht="25.5" x14ac:dyDescent="0.25">
      <c r="A163" s="13">
        <v>325000</v>
      </c>
      <c r="B163" s="8" t="s">
        <v>245</v>
      </c>
      <c r="C163" s="9" t="s">
        <v>121</v>
      </c>
    </row>
    <row r="164" spans="1:3" ht="25.5" x14ac:dyDescent="0.25">
      <c r="A164" s="13">
        <v>325001</v>
      </c>
      <c r="B164" s="8" t="s">
        <v>245</v>
      </c>
      <c r="C164" s="9" t="s">
        <v>122</v>
      </c>
    </row>
    <row r="165" spans="1:3" ht="38.25" x14ac:dyDescent="0.25">
      <c r="A165" s="13">
        <v>326000</v>
      </c>
      <c r="B165" s="8" t="s">
        <v>246</v>
      </c>
      <c r="C165" s="9" t="s">
        <v>121</v>
      </c>
    </row>
    <row r="166" spans="1:3" ht="38.25" x14ac:dyDescent="0.25">
      <c r="A166" s="13">
        <v>326001</v>
      </c>
      <c r="B166" s="8" t="s">
        <v>246</v>
      </c>
      <c r="C166" s="9" t="s">
        <v>122</v>
      </c>
    </row>
    <row r="167" spans="1:3" ht="25.5" x14ac:dyDescent="0.25">
      <c r="A167" s="13">
        <v>327000</v>
      </c>
      <c r="B167" s="8" t="s">
        <v>247</v>
      </c>
      <c r="C167" s="9" t="s">
        <v>121</v>
      </c>
    </row>
    <row r="168" spans="1:3" ht="25.5" x14ac:dyDescent="0.25">
      <c r="A168" s="13">
        <v>327001</v>
      </c>
      <c r="B168" s="8" t="s">
        <v>247</v>
      </c>
      <c r="C168" s="9" t="s">
        <v>122</v>
      </c>
    </row>
    <row r="169" spans="1:3" x14ac:dyDescent="0.25">
      <c r="A169" s="13">
        <v>328000</v>
      </c>
      <c r="B169" s="8" t="s">
        <v>248</v>
      </c>
      <c r="C169" s="9" t="s">
        <v>121</v>
      </c>
    </row>
    <row r="170" spans="1:3" x14ac:dyDescent="0.25">
      <c r="A170" s="13">
        <v>328001</v>
      </c>
      <c r="B170" s="8" t="s">
        <v>248</v>
      </c>
      <c r="C170" s="9" t="s">
        <v>122</v>
      </c>
    </row>
    <row r="171" spans="1:3" ht="25.5" x14ac:dyDescent="0.25">
      <c r="A171" s="13">
        <v>328002</v>
      </c>
      <c r="B171" s="8" t="s">
        <v>249</v>
      </c>
      <c r="C171" s="9" t="s">
        <v>122</v>
      </c>
    </row>
    <row r="172" spans="1:3" x14ac:dyDescent="0.25">
      <c r="A172" s="13">
        <v>329000</v>
      </c>
      <c r="B172" s="8" t="s">
        <v>250</v>
      </c>
      <c r="C172" s="9" t="s">
        <v>121</v>
      </c>
    </row>
    <row r="173" spans="1:3" x14ac:dyDescent="0.25">
      <c r="A173" s="13">
        <v>329001</v>
      </c>
      <c r="B173" s="8" t="s">
        <v>251</v>
      </c>
      <c r="C173" s="9" t="s">
        <v>122</v>
      </c>
    </row>
    <row r="174" spans="1:3" ht="38.25" x14ac:dyDescent="0.25">
      <c r="A174" s="13">
        <v>330000</v>
      </c>
      <c r="B174" s="8" t="s">
        <v>252</v>
      </c>
      <c r="C174" s="9" t="s">
        <v>121</v>
      </c>
    </row>
    <row r="175" spans="1:3" ht="38.25" x14ac:dyDescent="0.25">
      <c r="A175" s="13">
        <v>331000</v>
      </c>
      <c r="B175" s="8" t="s">
        <v>253</v>
      </c>
      <c r="C175" s="9" t="s">
        <v>121</v>
      </c>
    </row>
    <row r="176" spans="1:3" x14ac:dyDescent="0.25">
      <c r="A176" s="13">
        <v>331001</v>
      </c>
      <c r="B176" s="8" t="s">
        <v>254</v>
      </c>
      <c r="C176" s="9" t="s">
        <v>122</v>
      </c>
    </row>
    <row r="177" spans="1:3" x14ac:dyDescent="0.25">
      <c r="A177" s="13">
        <v>331002</v>
      </c>
      <c r="B177" s="8" t="s">
        <v>255</v>
      </c>
      <c r="C177" s="9" t="s">
        <v>122</v>
      </c>
    </row>
    <row r="178" spans="1:3" x14ac:dyDescent="0.25">
      <c r="A178" s="13">
        <v>331003</v>
      </c>
      <c r="B178" s="8" t="s">
        <v>256</v>
      </c>
      <c r="C178" s="9" t="s">
        <v>122</v>
      </c>
    </row>
    <row r="179" spans="1:3" ht="38.25" x14ac:dyDescent="0.25">
      <c r="A179" s="13">
        <v>332000</v>
      </c>
      <c r="B179" s="8" t="s">
        <v>257</v>
      </c>
      <c r="C179" s="9" t="s">
        <v>121</v>
      </c>
    </row>
    <row r="180" spans="1:3" ht="38.25" x14ac:dyDescent="0.25">
      <c r="A180" s="13">
        <v>332001</v>
      </c>
      <c r="B180" s="8" t="s">
        <v>257</v>
      </c>
      <c r="C180" s="9" t="s">
        <v>122</v>
      </c>
    </row>
    <row r="181" spans="1:3" ht="51" x14ac:dyDescent="0.25">
      <c r="A181" s="13">
        <v>333000</v>
      </c>
      <c r="B181" s="8" t="s">
        <v>258</v>
      </c>
      <c r="C181" s="9" t="s">
        <v>121</v>
      </c>
    </row>
    <row r="182" spans="1:3" x14ac:dyDescent="0.25">
      <c r="A182" s="13">
        <v>333001</v>
      </c>
      <c r="B182" s="8" t="s">
        <v>259</v>
      </c>
      <c r="C182" s="9" t="s">
        <v>122</v>
      </c>
    </row>
    <row r="183" spans="1:3" ht="38.25" x14ac:dyDescent="0.25">
      <c r="A183" s="13">
        <v>333002</v>
      </c>
      <c r="B183" s="8" t="s">
        <v>260</v>
      </c>
      <c r="C183" s="9" t="s">
        <v>122</v>
      </c>
    </row>
    <row r="184" spans="1:3" ht="51" x14ac:dyDescent="0.25">
      <c r="A184" s="13">
        <v>333003</v>
      </c>
      <c r="B184" s="8" t="s">
        <v>258</v>
      </c>
      <c r="C184" s="9" t="s">
        <v>122</v>
      </c>
    </row>
    <row r="185" spans="1:3" x14ac:dyDescent="0.25">
      <c r="A185" s="13">
        <v>334000</v>
      </c>
      <c r="B185" s="8" t="s">
        <v>261</v>
      </c>
      <c r="C185" s="9" t="s">
        <v>121</v>
      </c>
    </row>
    <row r="186" spans="1:3" x14ac:dyDescent="0.25">
      <c r="A186" s="13">
        <v>334001</v>
      </c>
      <c r="B186" s="8" t="s">
        <v>262</v>
      </c>
      <c r="C186" s="9" t="s">
        <v>122</v>
      </c>
    </row>
    <row r="187" spans="1:3" x14ac:dyDescent="0.25">
      <c r="A187" s="13">
        <v>334002</v>
      </c>
      <c r="B187" s="8" t="s">
        <v>263</v>
      </c>
      <c r="C187" s="9" t="s">
        <v>122</v>
      </c>
    </row>
    <row r="188" spans="1:3" ht="25.5" x14ac:dyDescent="0.25">
      <c r="A188" s="13">
        <v>335000</v>
      </c>
      <c r="B188" s="8" t="s">
        <v>264</v>
      </c>
      <c r="C188" s="9" t="s">
        <v>121</v>
      </c>
    </row>
    <row r="189" spans="1:3" ht="25.5" x14ac:dyDescent="0.25">
      <c r="A189" s="13">
        <v>335001</v>
      </c>
      <c r="B189" s="8" t="s">
        <v>264</v>
      </c>
      <c r="C189" s="9" t="s">
        <v>122</v>
      </c>
    </row>
    <row r="190" spans="1:3" ht="38.25" x14ac:dyDescent="0.25">
      <c r="A190" s="10">
        <v>336000</v>
      </c>
      <c r="B190" s="11" t="s">
        <v>265</v>
      </c>
      <c r="C190" s="16" t="s">
        <v>121</v>
      </c>
    </row>
    <row r="191" spans="1:3" ht="51" x14ac:dyDescent="0.25">
      <c r="A191" s="13">
        <v>336001</v>
      </c>
      <c r="B191" s="8" t="s">
        <v>266</v>
      </c>
      <c r="C191" s="9" t="s">
        <v>122</v>
      </c>
    </row>
    <row r="192" spans="1:3" ht="38.25" x14ac:dyDescent="0.25">
      <c r="A192" s="13">
        <v>336002</v>
      </c>
      <c r="B192" s="8" t="s">
        <v>267</v>
      </c>
      <c r="C192" s="9" t="s">
        <v>122</v>
      </c>
    </row>
    <row r="193" spans="1:3" ht="25.5" x14ac:dyDescent="0.25">
      <c r="A193" s="13">
        <v>337000</v>
      </c>
      <c r="B193" s="8" t="s">
        <v>268</v>
      </c>
      <c r="C193" s="9" t="s">
        <v>121</v>
      </c>
    </row>
    <row r="194" spans="1:3" ht="25.5" x14ac:dyDescent="0.25">
      <c r="A194" s="13">
        <v>337001</v>
      </c>
      <c r="B194" s="8" t="s">
        <v>269</v>
      </c>
      <c r="C194" s="9" t="s">
        <v>122</v>
      </c>
    </row>
    <row r="195" spans="1:3" x14ac:dyDescent="0.25">
      <c r="A195" s="13">
        <v>338000</v>
      </c>
      <c r="B195" s="8" t="s">
        <v>270</v>
      </c>
      <c r="C195" s="9" t="s">
        <v>121</v>
      </c>
    </row>
    <row r="196" spans="1:3" ht="25.5" x14ac:dyDescent="0.25">
      <c r="A196" s="13">
        <v>338001</v>
      </c>
      <c r="B196" s="8" t="s">
        <v>271</v>
      </c>
      <c r="C196" s="9" t="s">
        <v>122</v>
      </c>
    </row>
    <row r="197" spans="1:3" ht="38.25" x14ac:dyDescent="0.25">
      <c r="A197" s="13">
        <v>339000</v>
      </c>
      <c r="B197" s="8" t="s">
        <v>272</v>
      </c>
      <c r="C197" s="9" t="s">
        <v>121</v>
      </c>
    </row>
    <row r="198" spans="1:3" ht="38.25" x14ac:dyDescent="0.25">
      <c r="A198" s="13">
        <v>339001</v>
      </c>
      <c r="B198" s="8" t="s">
        <v>272</v>
      </c>
      <c r="C198" s="9" t="s">
        <v>122</v>
      </c>
    </row>
    <row r="199" spans="1:3" ht="25.5" x14ac:dyDescent="0.25">
      <c r="A199" s="13">
        <v>340000</v>
      </c>
      <c r="B199" s="8" t="s">
        <v>273</v>
      </c>
      <c r="C199" s="9" t="s">
        <v>121</v>
      </c>
    </row>
    <row r="200" spans="1:3" ht="25.5" x14ac:dyDescent="0.25">
      <c r="A200" s="13">
        <v>341000</v>
      </c>
      <c r="B200" s="8" t="s">
        <v>274</v>
      </c>
      <c r="C200" s="9" t="s">
        <v>121</v>
      </c>
    </row>
    <row r="201" spans="1:3" ht="25.5" x14ac:dyDescent="0.25">
      <c r="A201" s="13">
        <v>341001</v>
      </c>
      <c r="B201" s="8" t="s">
        <v>275</v>
      </c>
      <c r="C201" s="9" t="s">
        <v>122</v>
      </c>
    </row>
    <row r="202" spans="1:3" ht="38.25" x14ac:dyDescent="0.25">
      <c r="A202" s="13">
        <v>342000</v>
      </c>
      <c r="B202" s="8" t="s">
        <v>276</v>
      </c>
      <c r="C202" s="9" t="s">
        <v>121</v>
      </c>
    </row>
    <row r="203" spans="1:3" ht="38.25" x14ac:dyDescent="0.25">
      <c r="A203" s="13">
        <v>342001</v>
      </c>
      <c r="B203" s="8" t="s">
        <v>276</v>
      </c>
      <c r="C203" s="9" t="s">
        <v>122</v>
      </c>
    </row>
    <row r="204" spans="1:3" ht="38.25" x14ac:dyDescent="0.25">
      <c r="A204" s="13">
        <v>343000</v>
      </c>
      <c r="B204" s="8" t="s">
        <v>277</v>
      </c>
      <c r="C204" s="9" t="s">
        <v>121</v>
      </c>
    </row>
    <row r="205" spans="1:3" ht="38.25" x14ac:dyDescent="0.25">
      <c r="A205" s="13">
        <v>343001</v>
      </c>
      <c r="B205" s="8" t="s">
        <v>277</v>
      </c>
      <c r="C205" s="9" t="s">
        <v>122</v>
      </c>
    </row>
    <row r="206" spans="1:3" ht="25.5" x14ac:dyDescent="0.25">
      <c r="A206" s="13">
        <v>344000</v>
      </c>
      <c r="B206" s="8" t="s">
        <v>278</v>
      </c>
      <c r="C206" s="9" t="s">
        <v>121</v>
      </c>
    </row>
    <row r="207" spans="1:3" ht="25.5" x14ac:dyDescent="0.25">
      <c r="A207" s="13">
        <v>344001</v>
      </c>
      <c r="B207" s="8" t="s">
        <v>278</v>
      </c>
      <c r="C207" s="9" t="s">
        <v>122</v>
      </c>
    </row>
    <row r="208" spans="1:3" ht="25.5" x14ac:dyDescent="0.25">
      <c r="A208" s="13">
        <v>345000</v>
      </c>
      <c r="B208" s="8" t="s">
        <v>279</v>
      </c>
      <c r="C208" s="9" t="s">
        <v>121</v>
      </c>
    </row>
    <row r="209" spans="1:3" x14ac:dyDescent="0.25">
      <c r="A209" s="13">
        <v>345001</v>
      </c>
      <c r="B209" s="8" t="s">
        <v>280</v>
      </c>
      <c r="C209" s="9" t="s">
        <v>122</v>
      </c>
    </row>
    <row r="210" spans="1:3" ht="25.5" x14ac:dyDescent="0.25">
      <c r="A210" s="13">
        <v>346000</v>
      </c>
      <c r="B210" s="8" t="s">
        <v>281</v>
      </c>
      <c r="C210" s="9" t="s">
        <v>121</v>
      </c>
    </row>
    <row r="211" spans="1:3" ht="25.5" x14ac:dyDescent="0.25">
      <c r="A211" s="13">
        <v>346001</v>
      </c>
      <c r="B211" s="8" t="s">
        <v>281</v>
      </c>
      <c r="C211" s="9" t="s">
        <v>122</v>
      </c>
    </row>
    <row r="212" spans="1:3" x14ac:dyDescent="0.25">
      <c r="A212" s="13">
        <v>347000</v>
      </c>
      <c r="B212" s="8" t="s">
        <v>282</v>
      </c>
      <c r="C212" s="9" t="s">
        <v>121</v>
      </c>
    </row>
    <row r="213" spans="1:3" ht="25.5" x14ac:dyDescent="0.25">
      <c r="A213" s="13">
        <v>347001</v>
      </c>
      <c r="B213" s="8" t="s">
        <v>283</v>
      </c>
      <c r="C213" s="9" t="s">
        <v>122</v>
      </c>
    </row>
    <row r="214" spans="1:3" x14ac:dyDescent="0.25">
      <c r="A214" s="13">
        <v>348000</v>
      </c>
      <c r="B214" s="8" t="s">
        <v>284</v>
      </c>
      <c r="C214" s="9" t="s">
        <v>121</v>
      </c>
    </row>
    <row r="215" spans="1:3" x14ac:dyDescent="0.25">
      <c r="A215" s="13">
        <v>348001</v>
      </c>
      <c r="B215" s="8" t="s">
        <v>284</v>
      </c>
      <c r="C215" s="9" t="s">
        <v>122</v>
      </c>
    </row>
    <row r="216" spans="1:3" ht="38.25" x14ac:dyDescent="0.25">
      <c r="A216" s="13">
        <v>349000</v>
      </c>
      <c r="B216" s="8" t="s">
        <v>285</v>
      </c>
      <c r="C216" s="9" t="s">
        <v>121</v>
      </c>
    </row>
    <row r="217" spans="1:3" ht="38.25" x14ac:dyDescent="0.25">
      <c r="A217" s="13">
        <v>349001</v>
      </c>
      <c r="B217" s="8" t="s">
        <v>285</v>
      </c>
      <c r="C217" s="9" t="s">
        <v>122</v>
      </c>
    </row>
    <row r="218" spans="1:3" ht="51" x14ac:dyDescent="0.25">
      <c r="A218" s="13">
        <v>350000</v>
      </c>
      <c r="B218" s="8" t="s">
        <v>286</v>
      </c>
      <c r="C218" s="9" t="s">
        <v>121</v>
      </c>
    </row>
    <row r="219" spans="1:3" ht="38.25" x14ac:dyDescent="0.25">
      <c r="A219" s="13">
        <v>351000</v>
      </c>
      <c r="B219" s="8" t="s">
        <v>287</v>
      </c>
      <c r="C219" s="9" t="s">
        <v>121</v>
      </c>
    </row>
    <row r="220" spans="1:3" ht="25.5" x14ac:dyDescent="0.25">
      <c r="A220" s="13">
        <v>351001</v>
      </c>
      <c r="B220" s="8" t="s">
        <v>288</v>
      </c>
      <c r="C220" s="9" t="s">
        <v>122</v>
      </c>
    </row>
    <row r="221" spans="1:3" x14ac:dyDescent="0.25">
      <c r="A221" s="13">
        <v>351002</v>
      </c>
      <c r="B221" s="8" t="s">
        <v>289</v>
      </c>
      <c r="C221" s="9" t="s">
        <v>122</v>
      </c>
    </row>
    <row r="222" spans="1:3" ht="38.25" x14ac:dyDescent="0.25">
      <c r="A222" s="13">
        <v>351003</v>
      </c>
      <c r="B222" s="8" t="s">
        <v>290</v>
      </c>
      <c r="C222" s="9" t="s">
        <v>122</v>
      </c>
    </row>
    <row r="223" spans="1:3" ht="63.75" x14ac:dyDescent="0.25">
      <c r="A223" s="13">
        <v>352000</v>
      </c>
      <c r="B223" s="8" t="s">
        <v>291</v>
      </c>
      <c r="C223" s="9" t="s">
        <v>121</v>
      </c>
    </row>
    <row r="224" spans="1:3" ht="25.5" x14ac:dyDescent="0.25">
      <c r="A224" s="13">
        <v>352001</v>
      </c>
      <c r="B224" s="8" t="s">
        <v>292</v>
      </c>
      <c r="C224" s="9" t="s">
        <v>122</v>
      </c>
    </row>
    <row r="225" spans="1:3" x14ac:dyDescent="0.25">
      <c r="A225" s="13">
        <v>352002</v>
      </c>
      <c r="B225" s="8" t="s">
        <v>293</v>
      </c>
      <c r="C225" s="9" t="s">
        <v>122</v>
      </c>
    </row>
    <row r="226" spans="1:3" ht="38.25" x14ac:dyDescent="0.25">
      <c r="A226" s="13">
        <v>352003</v>
      </c>
      <c r="B226" s="8" t="s">
        <v>294</v>
      </c>
      <c r="C226" s="9" t="s">
        <v>122</v>
      </c>
    </row>
    <row r="227" spans="1:3" ht="51" x14ac:dyDescent="0.25">
      <c r="A227" s="13">
        <v>353000</v>
      </c>
      <c r="B227" s="8" t="s">
        <v>295</v>
      </c>
      <c r="C227" s="9" t="s">
        <v>121</v>
      </c>
    </row>
    <row r="228" spans="1:3" ht="51" x14ac:dyDescent="0.25">
      <c r="A228" s="13">
        <v>353001</v>
      </c>
      <c r="B228" s="8" t="s">
        <v>296</v>
      </c>
      <c r="C228" s="9" t="s">
        <v>122</v>
      </c>
    </row>
    <row r="229" spans="1:3" ht="51" x14ac:dyDescent="0.25">
      <c r="A229" s="10">
        <v>354000</v>
      </c>
      <c r="B229" s="11" t="s">
        <v>297</v>
      </c>
      <c r="C229" s="16" t="s">
        <v>121</v>
      </c>
    </row>
    <row r="230" spans="1:3" ht="51" x14ac:dyDescent="0.25">
      <c r="A230" s="13">
        <v>354001</v>
      </c>
      <c r="B230" s="8" t="s">
        <v>297</v>
      </c>
      <c r="C230" s="9" t="s">
        <v>122</v>
      </c>
    </row>
    <row r="231" spans="1:3" ht="38.25" x14ac:dyDescent="0.25">
      <c r="A231" s="13">
        <v>355000</v>
      </c>
      <c r="B231" s="8" t="s">
        <v>298</v>
      </c>
      <c r="C231" s="9" t="s">
        <v>121</v>
      </c>
    </row>
    <row r="232" spans="1:3" ht="51" x14ac:dyDescent="0.25">
      <c r="A232" s="13">
        <v>355001</v>
      </c>
      <c r="B232" s="8" t="s">
        <v>299</v>
      </c>
      <c r="C232" s="9" t="s">
        <v>122</v>
      </c>
    </row>
    <row r="233" spans="1:3" ht="38.25" x14ac:dyDescent="0.25">
      <c r="A233" s="13">
        <v>356000</v>
      </c>
      <c r="B233" s="8" t="s">
        <v>300</v>
      </c>
      <c r="C233" s="9" t="s">
        <v>121</v>
      </c>
    </row>
    <row r="234" spans="1:3" ht="38.25" x14ac:dyDescent="0.25">
      <c r="A234" s="13">
        <v>356001</v>
      </c>
      <c r="B234" s="8" t="s">
        <v>300</v>
      </c>
      <c r="C234" s="9" t="s">
        <v>122</v>
      </c>
    </row>
    <row r="235" spans="1:3" ht="51" x14ac:dyDescent="0.25">
      <c r="A235" s="13">
        <v>357000</v>
      </c>
      <c r="B235" s="8" t="s">
        <v>301</v>
      </c>
      <c r="C235" s="9" t="s">
        <v>121</v>
      </c>
    </row>
    <row r="236" spans="1:3" ht="38.25" x14ac:dyDescent="0.25">
      <c r="A236" s="13">
        <v>357001</v>
      </c>
      <c r="B236" s="8" t="s">
        <v>302</v>
      </c>
      <c r="C236" s="9" t="s">
        <v>122</v>
      </c>
    </row>
    <row r="237" spans="1:3" ht="51" x14ac:dyDescent="0.25">
      <c r="A237" s="13">
        <v>357002</v>
      </c>
      <c r="B237" s="8" t="s">
        <v>301</v>
      </c>
      <c r="C237" s="9" t="s">
        <v>122</v>
      </c>
    </row>
    <row r="238" spans="1:3" ht="25.5" x14ac:dyDescent="0.25">
      <c r="A238" s="13">
        <v>358000</v>
      </c>
      <c r="B238" s="8" t="s">
        <v>303</v>
      </c>
      <c r="C238" s="9" t="s">
        <v>121</v>
      </c>
    </row>
    <row r="239" spans="1:3" ht="25.5" x14ac:dyDescent="0.25">
      <c r="A239" s="13">
        <v>358001</v>
      </c>
      <c r="B239" s="8" t="s">
        <v>304</v>
      </c>
      <c r="C239" s="9" t="s">
        <v>122</v>
      </c>
    </row>
    <row r="240" spans="1:3" ht="25.5" x14ac:dyDescent="0.25">
      <c r="A240" s="13">
        <v>358002</v>
      </c>
      <c r="B240" s="8" t="s">
        <v>305</v>
      </c>
      <c r="C240" s="9" t="s">
        <v>122</v>
      </c>
    </row>
    <row r="241" spans="1:3" x14ac:dyDescent="0.25">
      <c r="A241" s="13">
        <v>358003</v>
      </c>
      <c r="B241" s="8" t="s">
        <v>306</v>
      </c>
      <c r="C241" s="9" t="s">
        <v>122</v>
      </c>
    </row>
    <row r="242" spans="1:3" ht="25.5" x14ac:dyDescent="0.25">
      <c r="A242" s="13">
        <v>359000</v>
      </c>
      <c r="B242" s="8" t="s">
        <v>307</v>
      </c>
      <c r="C242" s="9" t="s">
        <v>121</v>
      </c>
    </row>
    <row r="243" spans="1:3" ht="25.5" x14ac:dyDescent="0.25">
      <c r="A243" s="13">
        <v>359001</v>
      </c>
      <c r="B243" s="8" t="s">
        <v>308</v>
      </c>
      <c r="C243" s="9" t="s">
        <v>122</v>
      </c>
    </row>
    <row r="244" spans="1:3" x14ac:dyDescent="0.25">
      <c r="A244" s="13">
        <v>359002</v>
      </c>
      <c r="B244" s="8" t="s">
        <v>309</v>
      </c>
      <c r="C244" s="9" t="s">
        <v>122</v>
      </c>
    </row>
    <row r="245" spans="1:3" ht="38.25" x14ac:dyDescent="0.25">
      <c r="A245" s="13">
        <v>360000</v>
      </c>
      <c r="B245" s="8" t="s">
        <v>310</v>
      </c>
      <c r="C245" s="9" t="s">
        <v>121</v>
      </c>
    </row>
    <row r="246" spans="1:3" ht="63.75" x14ac:dyDescent="0.25">
      <c r="A246" s="13">
        <v>361000</v>
      </c>
      <c r="B246" s="8" t="s">
        <v>311</v>
      </c>
      <c r="C246" s="9" t="s">
        <v>121</v>
      </c>
    </row>
    <row r="247" spans="1:3" x14ac:dyDescent="0.25">
      <c r="A247" s="13">
        <v>361001</v>
      </c>
      <c r="B247" s="8" t="s">
        <v>312</v>
      </c>
      <c r="C247" s="9" t="s">
        <v>122</v>
      </c>
    </row>
    <row r="248" spans="1:3" ht="25.5" x14ac:dyDescent="0.25">
      <c r="A248" s="13">
        <v>361002</v>
      </c>
      <c r="B248" s="8" t="s">
        <v>313</v>
      </c>
      <c r="C248" s="9" t="s">
        <v>122</v>
      </c>
    </row>
    <row r="249" spans="1:3" x14ac:dyDescent="0.25">
      <c r="A249" s="13">
        <v>361003</v>
      </c>
      <c r="B249" s="8" t="s">
        <v>314</v>
      </c>
      <c r="C249" s="9" t="s">
        <v>122</v>
      </c>
    </row>
    <row r="250" spans="1:3" ht="25.5" x14ac:dyDescent="0.25">
      <c r="A250" s="13">
        <v>361004</v>
      </c>
      <c r="B250" s="8" t="s">
        <v>315</v>
      </c>
      <c r="C250" s="9" t="s">
        <v>122</v>
      </c>
    </row>
    <row r="251" spans="1:3" ht="63.75" x14ac:dyDescent="0.25">
      <c r="A251" s="13">
        <v>362000</v>
      </c>
      <c r="B251" s="8" t="s">
        <v>316</v>
      </c>
      <c r="C251" s="9" t="s">
        <v>121</v>
      </c>
    </row>
    <row r="252" spans="1:3" ht="63.75" x14ac:dyDescent="0.25">
      <c r="A252" s="13">
        <v>362001</v>
      </c>
      <c r="B252" s="8" t="s">
        <v>316</v>
      </c>
      <c r="C252" s="9" t="s">
        <v>122</v>
      </c>
    </row>
    <row r="253" spans="1:3" ht="76.5" x14ac:dyDescent="0.25">
      <c r="A253" s="13">
        <v>362002</v>
      </c>
      <c r="B253" s="8" t="s">
        <v>317</v>
      </c>
      <c r="C253" s="9" t="s">
        <v>122</v>
      </c>
    </row>
    <row r="254" spans="1:3" ht="51" x14ac:dyDescent="0.25">
      <c r="A254" s="13">
        <v>363000</v>
      </c>
      <c r="B254" s="8" t="s">
        <v>318</v>
      </c>
      <c r="C254" s="9" t="s">
        <v>121</v>
      </c>
    </row>
    <row r="255" spans="1:3" ht="25.5" x14ac:dyDescent="0.25">
      <c r="A255" s="13">
        <v>363001</v>
      </c>
      <c r="B255" s="8" t="s">
        <v>319</v>
      </c>
      <c r="C255" s="9" t="s">
        <v>122</v>
      </c>
    </row>
    <row r="256" spans="1:3" ht="25.5" x14ac:dyDescent="0.25">
      <c r="A256" s="13">
        <v>364000</v>
      </c>
      <c r="B256" s="8" t="s">
        <v>320</v>
      </c>
      <c r="C256" s="9" t="s">
        <v>121</v>
      </c>
    </row>
    <row r="257" spans="1:3" x14ac:dyDescent="0.25">
      <c r="A257" s="13">
        <v>364001</v>
      </c>
      <c r="B257" s="8" t="s">
        <v>321</v>
      </c>
      <c r="C257" s="9" t="s">
        <v>122</v>
      </c>
    </row>
    <row r="258" spans="1:3" ht="38.25" x14ac:dyDescent="0.25">
      <c r="A258" s="13">
        <v>365000</v>
      </c>
      <c r="B258" s="8" t="s">
        <v>322</v>
      </c>
      <c r="C258" s="9" t="s">
        <v>121</v>
      </c>
    </row>
    <row r="259" spans="1:3" ht="38.25" x14ac:dyDescent="0.25">
      <c r="A259" s="13">
        <v>365001</v>
      </c>
      <c r="B259" s="8" t="s">
        <v>322</v>
      </c>
      <c r="C259" s="9" t="s">
        <v>122</v>
      </c>
    </row>
    <row r="260" spans="1:3" ht="51" x14ac:dyDescent="0.25">
      <c r="A260" s="13">
        <v>366000</v>
      </c>
      <c r="B260" s="8" t="s">
        <v>323</v>
      </c>
      <c r="C260" s="9" t="s">
        <v>121</v>
      </c>
    </row>
    <row r="261" spans="1:3" ht="25.5" x14ac:dyDescent="0.25">
      <c r="A261" s="13">
        <v>366001</v>
      </c>
      <c r="B261" s="8" t="s">
        <v>324</v>
      </c>
      <c r="C261" s="9" t="s">
        <v>122</v>
      </c>
    </row>
    <row r="262" spans="1:3" ht="25.5" x14ac:dyDescent="0.25">
      <c r="A262" s="10">
        <v>369000</v>
      </c>
      <c r="B262" s="11" t="s">
        <v>325</v>
      </c>
      <c r="C262" s="16" t="s">
        <v>121</v>
      </c>
    </row>
    <row r="263" spans="1:3" ht="25.5" x14ac:dyDescent="0.25">
      <c r="A263" s="13">
        <v>369001</v>
      </c>
      <c r="B263" s="8" t="s">
        <v>326</v>
      </c>
      <c r="C263" s="9" t="s">
        <v>122</v>
      </c>
    </row>
    <row r="264" spans="1:3" ht="25.5" x14ac:dyDescent="0.25">
      <c r="A264" s="13">
        <v>370000</v>
      </c>
      <c r="B264" s="8" t="s">
        <v>327</v>
      </c>
      <c r="C264" s="9" t="s">
        <v>121</v>
      </c>
    </row>
    <row r="265" spans="1:3" x14ac:dyDescent="0.25">
      <c r="A265" s="13">
        <v>371000</v>
      </c>
      <c r="B265" s="8" t="s">
        <v>328</v>
      </c>
      <c r="C265" s="9" t="s">
        <v>121</v>
      </c>
    </row>
    <row r="266" spans="1:3" x14ac:dyDescent="0.25">
      <c r="A266" s="13">
        <v>371001</v>
      </c>
      <c r="B266" s="8" t="s">
        <v>328</v>
      </c>
      <c r="C266" s="9" t="s">
        <v>122</v>
      </c>
    </row>
    <row r="267" spans="1:3" x14ac:dyDescent="0.25">
      <c r="A267" s="13">
        <v>372000</v>
      </c>
      <c r="B267" s="8" t="s">
        <v>329</v>
      </c>
      <c r="C267" s="9" t="s">
        <v>121</v>
      </c>
    </row>
    <row r="268" spans="1:3" x14ac:dyDescent="0.25">
      <c r="A268" s="13">
        <v>372001</v>
      </c>
      <c r="B268" s="8" t="s">
        <v>329</v>
      </c>
      <c r="C268" s="9" t="s">
        <v>122</v>
      </c>
    </row>
    <row r="269" spans="1:3" ht="25.5" x14ac:dyDescent="0.25">
      <c r="A269" s="13">
        <v>373000</v>
      </c>
      <c r="B269" s="8" t="s">
        <v>330</v>
      </c>
      <c r="C269" s="9" t="s">
        <v>121</v>
      </c>
    </row>
    <row r="270" spans="1:3" x14ac:dyDescent="0.25">
      <c r="A270" s="13">
        <v>373001</v>
      </c>
      <c r="B270" s="8" t="s">
        <v>331</v>
      </c>
      <c r="C270" s="9" t="s">
        <v>122</v>
      </c>
    </row>
    <row r="271" spans="1:3" x14ac:dyDescent="0.25">
      <c r="A271" s="13">
        <v>374000</v>
      </c>
      <c r="B271" s="8" t="s">
        <v>332</v>
      </c>
      <c r="C271" s="9" t="s">
        <v>121</v>
      </c>
    </row>
    <row r="272" spans="1:3" x14ac:dyDescent="0.25">
      <c r="A272" s="13">
        <v>374001</v>
      </c>
      <c r="B272" s="8" t="s">
        <v>332</v>
      </c>
      <c r="C272" s="9" t="s">
        <v>122</v>
      </c>
    </row>
    <row r="273" spans="1:3" x14ac:dyDescent="0.25">
      <c r="A273" s="13">
        <v>375000</v>
      </c>
      <c r="B273" s="8" t="s">
        <v>333</v>
      </c>
      <c r="C273" s="9" t="s">
        <v>121</v>
      </c>
    </row>
    <row r="274" spans="1:3" x14ac:dyDescent="0.25">
      <c r="A274" s="13">
        <v>375001</v>
      </c>
      <c r="B274" s="8" t="s">
        <v>334</v>
      </c>
      <c r="C274" s="9" t="s">
        <v>122</v>
      </c>
    </row>
    <row r="275" spans="1:3" x14ac:dyDescent="0.25">
      <c r="A275" s="13">
        <v>376000</v>
      </c>
      <c r="B275" s="8" t="s">
        <v>335</v>
      </c>
      <c r="C275" s="9" t="s">
        <v>121</v>
      </c>
    </row>
    <row r="276" spans="1:3" x14ac:dyDescent="0.25">
      <c r="A276" s="13">
        <v>376001</v>
      </c>
      <c r="B276" s="8" t="s">
        <v>335</v>
      </c>
      <c r="C276" s="9" t="s">
        <v>122</v>
      </c>
    </row>
    <row r="277" spans="1:3" ht="25.5" x14ac:dyDescent="0.25">
      <c r="A277" s="13">
        <v>377000</v>
      </c>
      <c r="B277" s="8" t="s">
        <v>336</v>
      </c>
      <c r="C277" s="9" t="s">
        <v>121</v>
      </c>
    </row>
    <row r="278" spans="1:3" ht="25.5" x14ac:dyDescent="0.25">
      <c r="A278" s="13">
        <v>377001</v>
      </c>
      <c r="B278" s="8" t="s">
        <v>336</v>
      </c>
      <c r="C278" s="9" t="s">
        <v>122</v>
      </c>
    </row>
    <row r="279" spans="1:3" ht="25.5" x14ac:dyDescent="0.25">
      <c r="A279" s="13">
        <v>378000</v>
      </c>
      <c r="B279" s="8" t="s">
        <v>337</v>
      </c>
      <c r="C279" s="9" t="s">
        <v>121</v>
      </c>
    </row>
    <row r="280" spans="1:3" x14ac:dyDescent="0.25">
      <c r="A280" s="13">
        <v>378001</v>
      </c>
      <c r="B280" s="8" t="s">
        <v>338</v>
      </c>
      <c r="C280" s="9" t="s">
        <v>122</v>
      </c>
    </row>
    <row r="281" spans="1:3" ht="25.5" x14ac:dyDescent="0.25">
      <c r="A281" s="13">
        <v>379000</v>
      </c>
      <c r="B281" s="8" t="s">
        <v>339</v>
      </c>
      <c r="C281" s="9" t="s">
        <v>121</v>
      </c>
    </row>
    <row r="282" spans="1:3" x14ac:dyDescent="0.25">
      <c r="A282" s="13">
        <v>379001</v>
      </c>
      <c r="B282" s="8" t="s">
        <v>340</v>
      </c>
      <c r="C282" s="9" t="s">
        <v>122</v>
      </c>
    </row>
    <row r="283" spans="1:3" ht="25.5" x14ac:dyDescent="0.25">
      <c r="A283" s="13">
        <v>379002</v>
      </c>
      <c r="B283" s="8" t="s">
        <v>341</v>
      </c>
      <c r="C283" s="9" t="s">
        <v>122</v>
      </c>
    </row>
    <row r="284" spans="1:3" x14ac:dyDescent="0.25">
      <c r="A284" s="13">
        <v>379003</v>
      </c>
      <c r="B284" s="8" t="s">
        <v>342</v>
      </c>
      <c r="C284" s="9" t="s">
        <v>122</v>
      </c>
    </row>
    <row r="285" spans="1:3" x14ac:dyDescent="0.25">
      <c r="A285" s="13">
        <v>380000</v>
      </c>
      <c r="B285" s="8" t="s">
        <v>343</v>
      </c>
      <c r="C285" s="9" t="s">
        <v>121</v>
      </c>
    </row>
    <row r="286" spans="1:3" x14ac:dyDescent="0.25">
      <c r="A286" s="13">
        <v>381000</v>
      </c>
      <c r="B286" s="8" t="s">
        <v>344</v>
      </c>
      <c r="C286" s="9" t="s">
        <v>121</v>
      </c>
    </row>
    <row r="287" spans="1:3" ht="25.5" x14ac:dyDescent="0.25">
      <c r="A287" s="13">
        <v>381001</v>
      </c>
      <c r="B287" s="8" t="s">
        <v>345</v>
      </c>
      <c r="C287" s="9" t="s">
        <v>122</v>
      </c>
    </row>
    <row r="288" spans="1:3" ht="25.5" x14ac:dyDescent="0.25">
      <c r="A288" s="13">
        <v>382000</v>
      </c>
      <c r="B288" s="8" t="s">
        <v>346</v>
      </c>
      <c r="C288" s="9" t="s">
        <v>121</v>
      </c>
    </row>
    <row r="289" spans="1:3" ht="25.5" x14ac:dyDescent="0.25">
      <c r="A289" s="13">
        <v>382001</v>
      </c>
      <c r="B289" s="8" t="s">
        <v>347</v>
      </c>
      <c r="C289" s="9" t="s">
        <v>122</v>
      </c>
    </row>
    <row r="290" spans="1:3" ht="38.25" x14ac:dyDescent="0.25">
      <c r="A290" s="13">
        <v>382002</v>
      </c>
      <c r="B290" s="8" t="s">
        <v>348</v>
      </c>
      <c r="C290" s="9" t="s">
        <v>122</v>
      </c>
    </row>
    <row r="291" spans="1:3" ht="25.5" x14ac:dyDescent="0.25">
      <c r="A291" s="13">
        <v>382003</v>
      </c>
      <c r="B291" s="8" t="s">
        <v>349</v>
      </c>
      <c r="C291" s="9" t="s">
        <v>122</v>
      </c>
    </row>
    <row r="292" spans="1:3" x14ac:dyDescent="0.25">
      <c r="A292" s="13">
        <v>382004</v>
      </c>
      <c r="B292" s="8" t="s">
        <v>350</v>
      </c>
      <c r="C292" s="9" t="s">
        <v>122</v>
      </c>
    </row>
    <row r="293" spans="1:3" x14ac:dyDescent="0.25">
      <c r="A293" s="13">
        <v>383000</v>
      </c>
      <c r="B293" s="8" t="s">
        <v>351</v>
      </c>
      <c r="C293" s="9" t="s">
        <v>121</v>
      </c>
    </row>
    <row r="294" spans="1:3" x14ac:dyDescent="0.25">
      <c r="A294" s="13">
        <v>383001</v>
      </c>
      <c r="B294" s="8" t="s">
        <v>351</v>
      </c>
      <c r="C294" s="9" t="s">
        <v>122</v>
      </c>
    </row>
    <row r="295" spans="1:3" x14ac:dyDescent="0.25">
      <c r="A295" s="13">
        <v>384000</v>
      </c>
      <c r="B295" s="8" t="s">
        <v>352</v>
      </c>
      <c r="C295" s="9" t="s">
        <v>121</v>
      </c>
    </row>
    <row r="296" spans="1:3" x14ac:dyDescent="0.25">
      <c r="A296" s="13">
        <v>384001</v>
      </c>
      <c r="B296" s="8" t="s">
        <v>352</v>
      </c>
      <c r="C296" s="9" t="s">
        <v>122</v>
      </c>
    </row>
    <row r="297" spans="1:3" x14ac:dyDescent="0.25">
      <c r="A297" s="13">
        <v>385000</v>
      </c>
      <c r="B297" s="8" t="s">
        <v>353</v>
      </c>
      <c r="C297" s="9" t="s">
        <v>121</v>
      </c>
    </row>
    <row r="298" spans="1:3" x14ac:dyDescent="0.25">
      <c r="A298" s="13">
        <v>385001</v>
      </c>
      <c r="B298" s="8" t="s">
        <v>353</v>
      </c>
      <c r="C298" s="9" t="s">
        <v>122</v>
      </c>
    </row>
    <row r="299" spans="1:3" ht="25.5" x14ac:dyDescent="0.25">
      <c r="A299" s="13">
        <v>390000</v>
      </c>
      <c r="B299" s="8" t="s">
        <v>354</v>
      </c>
      <c r="C299" s="9" t="s">
        <v>121</v>
      </c>
    </row>
    <row r="300" spans="1:3" ht="25.5" x14ac:dyDescent="0.25">
      <c r="A300" s="13">
        <v>391000</v>
      </c>
      <c r="B300" s="8" t="s">
        <v>355</v>
      </c>
      <c r="C300" s="9" t="s">
        <v>121</v>
      </c>
    </row>
    <row r="301" spans="1:3" ht="25.5" x14ac:dyDescent="0.25">
      <c r="A301" s="13">
        <v>391001</v>
      </c>
      <c r="B301" s="8" t="s">
        <v>355</v>
      </c>
      <c r="C301" s="9" t="s">
        <v>122</v>
      </c>
    </row>
    <row r="302" spans="1:3" x14ac:dyDescent="0.25">
      <c r="A302" s="13">
        <v>392000</v>
      </c>
      <c r="B302" s="8" t="s">
        <v>356</v>
      </c>
      <c r="C302" s="9" t="s">
        <v>121</v>
      </c>
    </row>
    <row r="303" spans="1:3" x14ac:dyDescent="0.25">
      <c r="A303" s="13">
        <v>392001</v>
      </c>
      <c r="B303" s="8" t="s">
        <v>356</v>
      </c>
      <c r="C303" s="9" t="s">
        <v>122</v>
      </c>
    </row>
    <row r="304" spans="1:3" ht="25.5" x14ac:dyDescent="0.25">
      <c r="A304" s="13">
        <v>393000</v>
      </c>
      <c r="B304" s="8" t="s">
        <v>357</v>
      </c>
      <c r="C304" s="9" t="s">
        <v>121</v>
      </c>
    </row>
    <row r="305" spans="1:3" ht="25.5" x14ac:dyDescent="0.25">
      <c r="A305" s="15">
        <v>393001</v>
      </c>
      <c r="B305" s="11" t="s">
        <v>357</v>
      </c>
      <c r="C305" s="12" t="s">
        <v>122</v>
      </c>
    </row>
    <row r="306" spans="1:3" ht="25.5" x14ac:dyDescent="0.25">
      <c r="A306" s="17">
        <v>394000</v>
      </c>
      <c r="B306" s="8" t="s">
        <v>358</v>
      </c>
      <c r="C306" s="14" t="s">
        <v>121</v>
      </c>
    </row>
    <row r="307" spans="1:3" ht="25.5" x14ac:dyDescent="0.25">
      <c r="A307" s="17">
        <v>394001</v>
      </c>
      <c r="B307" s="8" t="s">
        <v>358</v>
      </c>
      <c r="C307" s="14" t="s">
        <v>122</v>
      </c>
    </row>
    <row r="308" spans="1:3" ht="25.5" x14ac:dyDescent="0.25">
      <c r="A308" s="17">
        <v>395000</v>
      </c>
      <c r="B308" s="8" t="s">
        <v>359</v>
      </c>
      <c r="C308" s="14" t="s">
        <v>121</v>
      </c>
    </row>
    <row r="309" spans="1:3" ht="25.5" x14ac:dyDescent="0.25">
      <c r="A309" s="17">
        <v>395001</v>
      </c>
      <c r="B309" s="8" t="s">
        <v>359</v>
      </c>
      <c r="C309" s="14" t="s">
        <v>122</v>
      </c>
    </row>
    <row r="310" spans="1:3" ht="25.5" x14ac:dyDescent="0.25">
      <c r="A310" s="17">
        <v>396000</v>
      </c>
      <c r="B310" s="8" t="s">
        <v>360</v>
      </c>
      <c r="C310" s="14" t="s">
        <v>121</v>
      </c>
    </row>
    <row r="311" spans="1:3" ht="25.5" x14ac:dyDescent="0.25">
      <c r="A311" s="17">
        <v>396001</v>
      </c>
      <c r="B311" s="8" t="s">
        <v>360</v>
      </c>
      <c r="C311" s="14" t="s">
        <v>122</v>
      </c>
    </row>
    <row r="312" spans="1:3" x14ac:dyDescent="0.25">
      <c r="A312" s="17">
        <v>399000</v>
      </c>
      <c r="B312" s="8" t="s">
        <v>361</v>
      </c>
      <c r="C312" s="14" t="s">
        <v>121</v>
      </c>
    </row>
    <row r="313" spans="1:3" x14ac:dyDescent="0.25">
      <c r="A313" s="17">
        <v>399001</v>
      </c>
      <c r="B313" s="8" t="s">
        <v>362</v>
      </c>
      <c r="C313" s="14" t="s">
        <v>122</v>
      </c>
    </row>
    <row r="314" spans="1:3" x14ac:dyDescent="0.25">
      <c r="A314" s="17">
        <v>399002</v>
      </c>
      <c r="B314" s="8" t="s">
        <v>363</v>
      </c>
      <c r="C314" s="14" t="s">
        <v>122</v>
      </c>
    </row>
    <row r="315" spans="1:3" ht="25.5" x14ac:dyDescent="0.25">
      <c r="A315" s="17">
        <v>399003</v>
      </c>
      <c r="B315" s="8" t="s">
        <v>364</v>
      </c>
      <c r="C315" s="14" t="s">
        <v>122</v>
      </c>
    </row>
    <row r="316" spans="1:3" x14ac:dyDescent="0.25">
      <c r="A316" s="17">
        <v>399004</v>
      </c>
      <c r="B316" s="8" t="s">
        <v>365</v>
      </c>
      <c r="C316" s="14" t="s">
        <v>123</v>
      </c>
    </row>
    <row r="317" spans="1:3" ht="47.25" x14ac:dyDescent="0.25">
      <c r="A317" s="18">
        <v>500000</v>
      </c>
      <c r="B317" s="19" t="s">
        <v>366</v>
      </c>
      <c r="C317" s="20" t="s">
        <v>124</v>
      </c>
    </row>
    <row r="318" spans="1:3" ht="25.5" x14ac:dyDescent="0.25">
      <c r="A318" s="17">
        <v>510000</v>
      </c>
      <c r="B318" s="8" t="s">
        <v>367</v>
      </c>
      <c r="C318" s="9" t="s">
        <v>121</v>
      </c>
    </row>
    <row r="319" spans="1:3" ht="25.5" x14ac:dyDescent="0.25">
      <c r="A319" s="17">
        <v>511000</v>
      </c>
      <c r="B319" s="8" t="s">
        <v>368</v>
      </c>
      <c r="C319" s="9" t="s">
        <v>121</v>
      </c>
    </row>
    <row r="320" spans="1:3" x14ac:dyDescent="0.25">
      <c r="A320" s="17">
        <v>511001</v>
      </c>
      <c r="B320" s="8" t="s">
        <v>369</v>
      </c>
      <c r="C320" s="9" t="s">
        <v>122</v>
      </c>
    </row>
    <row r="321" spans="1:3" ht="25.5" x14ac:dyDescent="0.25">
      <c r="A321" s="17">
        <v>512000</v>
      </c>
      <c r="B321" s="8" t="s">
        <v>370</v>
      </c>
      <c r="C321" s="9" t="s">
        <v>121</v>
      </c>
    </row>
    <row r="322" spans="1:3" ht="25.5" x14ac:dyDescent="0.25">
      <c r="A322" s="17">
        <v>512001</v>
      </c>
      <c r="B322" s="8" t="s">
        <v>370</v>
      </c>
      <c r="C322" s="9" t="s">
        <v>122</v>
      </c>
    </row>
    <row r="323" spans="1:3" ht="25.5" x14ac:dyDescent="0.25">
      <c r="A323" s="17">
        <v>513000</v>
      </c>
      <c r="B323" s="8" t="s">
        <v>371</v>
      </c>
      <c r="C323" s="9" t="s">
        <v>121</v>
      </c>
    </row>
    <row r="324" spans="1:3" ht="25.5" x14ac:dyDescent="0.25">
      <c r="A324" s="17">
        <v>513001</v>
      </c>
      <c r="B324" s="8" t="s">
        <v>372</v>
      </c>
      <c r="C324" s="9" t="s">
        <v>122</v>
      </c>
    </row>
    <row r="325" spans="1:3" x14ac:dyDescent="0.25">
      <c r="A325" s="17">
        <v>514000</v>
      </c>
      <c r="B325" s="8" t="s">
        <v>373</v>
      </c>
      <c r="C325" s="9" t="s">
        <v>121</v>
      </c>
    </row>
    <row r="326" spans="1:3" x14ac:dyDescent="0.25">
      <c r="A326" s="17">
        <v>514001</v>
      </c>
      <c r="B326" s="8" t="s">
        <v>373</v>
      </c>
      <c r="C326" s="9" t="s">
        <v>122</v>
      </c>
    </row>
    <row r="327" spans="1:3" ht="38.25" x14ac:dyDescent="0.25">
      <c r="A327" s="17">
        <v>515000</v>
      </c>
      <c r="B327" s="8" t="s">
        <v>374</v>
      </c>
      <c r="C327" s="9" t="s">
        <v>121</v>
      </c>
    </row>
    <row r="328" spans="1:3" x14ac:dyDescent="0.25">
      <c r="A328" s="17">
        <v>515001</v>
      </c>
      <c r="B328" s="8" t="s">
        <v>375</v>
      </c>
      <c r="C328" s="9" t="s">
        <v>122</v>
      </c>
    </row>
    <row r="329" spans="1:3" ht="38.25" x14ac:dyDescent="0.25">
      <c r="A329" s="17">
        <v>515002</v>
      </c>
      <c r="B329" s="8" t="s">
        <v>376</v>
      </c>
      <c r="C329" s="9" t="s">
        <v>122</v>
      </c>
    </row>
    <row r="330" spans="1:3" ht="25.5" x14ac:dyDescent="0.25">
      <c r="A330" s="17">
        <v>515003</v>
      </c>
      <c r="B330" s="8" t="s">
        <v>377</v>
      </c>
      <c r="C330" s="9" t="s">
        <v>122</v>
      </c>
    </row>
    <row r="331" spans="1:3" ht="25.5" x14ac:dyDescent="0.25">
      <c r="A331" s="17">
        <v>519000</v>
      </c>
      <c r="B331" s="8" t="s">
        <v>378</v>
      </c>
      <c r="C331" s="9" t="s">
        <v>121</v>
      </c>
    </row>
    <row r="332" spans="1:3" ht="25.5" x14ac:dyDescent="0.25">
      <c r="A332" s="17">
        <v>519001</v>
      </c>
      <c r="B332" s="8" t="s">
        <v>379</v>
      </c>
      <c r="C332" s="9" t="s">
        <v>122</v>
      </c>
    </row>
    <row r="333" spans="1:3" x14ac:dyDescent="0.25">
      <c r="A333" s="17">
        <v>519002</v>
      </c>
      <c r="B333" s="8" t="s">
        <v>380</v>
      </c>
      <c r="C333" s="9" t="s">
        <v>122</v>
      </c>
    </row>
    <row r="334" spans="1:3" ht="38.25" x14ac:dyDescent="0.25">
      <c r="A334" s="17">
        <v>519003</v>
      </c>
      <c r="B334" s="8" t="s">
        <v>381</v>
      </c>
      <c r="C334" s="9" t="s">
        <v>122</v>
      </c>
    </row>
    <row r="335" spans="1:3" x14ac:dyDescent="0.25">
      <c r="A335" s="17">
        <v>519004</v>
      </c>
      <c r="B335" s="8" t="s">
        <v>382</v>
      </c>
      <c r="C335" s="9" t="s">
        <v>122</v>
      </c>
    </row>
    <row r="336" spans="1:3" ht="25.5" x14ac:dyDescent="0.25">
      <c r="A336" s="17">
        <v>520000</v>
      </c>
      <c r="B336" s="8" t="s">
        <v>383</v>
      </c>
      <c r="C336" s="9" t="s">
        <v>121</v>
      </c>
    </row>
    <row r="337" spans="1:3" ht="25.5" x14ac:dyDescent="0.25">
      <c r="A337" s="17">
        <v>521000</v>
      </c>
      <c r="B337" s="8" t="s">
        <v>384</v>
      </c>
      <c r="C337" s="9" t="s">
        <v>121</v>
      </c>
    </row>
    <row r="338" spans="1:3" ht="25.5" x14ac:dyDescent="0.25">
      <c r="A338" s="17">
        <v>521001</v>
      </c>
      <c r="B338" s="8" t="s">
        <v>385</v>
      </c>
      <c r="C338" s="9" t="s">
        <v>122</v>
      </c>
    </row>
    <row r="339" spans="1:3" x14ac:dyDescent="0.25">
      <c r="A339" s="17">
        <v>522000</v>
      </c>
      <c r="B339" s="8" t="s">
        <v>386</v>
      </c>
      <c r="C339" s="9" t="s">
        <v>121</v>
      </c>
    </row>
    <row r="340" spans="1:3" x14ac:dyDescent="0.25">
      <c r="A340" s="17">
        <v>522001</v>
      </c>
      <c r="B340" s="8" t="s">
        <v>386</v>
      </c>
      <c r="C340" s="9" t="s">
        <v>122</v>
      </c>
    </row>
    <row r="341" spans="1:3" ht="25.5" x14ac:dyDescent="0.25">
      <c r="A341" s="17">
        <v>523000</v>
      </c>
      <c r="B341" s="8" t="s">
        <v>387</v>
      </c>
      <c r="C341" s="9" t="s">
        <v>121</v>
      </c>
    </row>
    <row r="342" spans="1:3" x14ac:dyDescent="0.25">
      <c r="A342" s="17">
        <v>523001</v>
      </c>
      <c r="B342" s="8" t="s">
        <v>388</v>
      </c>
      <c r="C342" s="9" t="s">
        <v>122</v>
      </c>
    </row>
    <row r="343" spans="1:3" x14ac:dyDescent="0.25">
      <c r="A343" s="17">
        <v>523002</v>
      </c>
      <c r="B343" s="8" t="s">
        <v>389</v>
      </c>
      <c r="C343" s="9" t="s">
        <v>122</v>
      </c>
    </row>
    <row r="344" spans="1:3" ht="25.5" x14ac:dyDescent="0.25">
      <c r="A344" s="17">
        <v>529000</v>
      </c>
      <c r="B344" s="8" t="s">
        <v>390</v>
      </c>
      <c r="C344" s="9" t="s">
        <v>121</v>
      </c>
    </row>
    <row r="345" spans="1:3" x14ac:dyDescent="0.25">
      <c r="A345" s="17">
        <v>529001</v>
      </c>
      <c r="B345" s="8" t="s">
        <v>391</v>
      </c>
      <c r="C345" s="9" t="s">
        <v>122</v>
      </c>
    </row>
    <row r="346" spans="1:3" x14ac:dyDescent="0.25">
      <c r="A346" s="17">
        <v>529002</v>
      </c>
      <c r="B346" s="8" t="s">
        <v>392</v>
      </c>
      <c r="C346" s="9" t="s">
        <v>122</v>
      </c>
    </row>
    <row r="347" spans="1:3" ht="25.5" x14ac:dyDescent="0.25">
      <c r="A347" s="10">
        <v>530000</v>
      </c>
      <c r="B347" s="11" t="s">
        <v>393</v>
      </c>
      <c r="C347" s="16" t="s">
        <v>121</v>
      </c>
    </row>
    <row r="348" spans="1:3" ht="25.5" x14ac:dyDescent="0.25">
      <c r="A348" s="13">
        <v>531000</v>
      </c>
      <c r="B348" s="8" t="s">
        <v>394</v>
      </c>
      <c r="C348" s="9" t="s">
        <v>121</v>
      </c>
    </row>
    <row r="349" spans="1:3" ht="25.5" x14ac:dyDescent="0.25">
      <c r="A349" s="13">
        <v>531001</v>
      </c>
      <c r="B349" s="8" t="s">
        <v>395</v>
      </c>
      <c r="C349" s="9" t="s">
        <v>122</v>
      </c>
    </row>
    <row r="350" spans="1:3" ht="25.5" x14ac:dyDescent="0.25">
      <c r="A350" s="13">
        <v>532000</v>
      </c>
      <c r="B350" s="8" t="s">
        <v>396</v>
      </c>
      <c r="C350" s="9" t="s">
        <v>121</v>
      </c>
    </row>
    <row r="351" spans="1:3" ht="25.5" x14ac:dyDescent="0.25">
      <c r="A351" s="13">
        <v>532001</v>
      </c>
      <c r="B351" s="8" t="s">
        <v>396</v>
      </c>
      <c r="C351" s="9" t="s">
        <v>122</v>
      </c>
    </row>
    <row r="352" spans="1:3" ht="25.5" x14ac:dyDescent="0.25">
      <c r="A352" s="13">
        <v>540000</v>
      </c>
      <c r="B352" s="8" t="s">
        <v>397</v>
      </c>
      <c r="C352" s="9" t="s">
        <v>121</v>
      </c>
    </row>
    <row r="353" spans="1:3" x14ac:dyDescent="0.25">
      <c r="A353" s="13">
        <v>541000</v>
      </c>
      <c r="B353" s="8" t="s">
        <v>398</v>
      </c>
      <c r="C353" s="9" t="s">
        <v>121</v>
      </c>
    </row>
    <row r="354" spans="1:3" x14ac:dyDescent="0.25">
      <c r="A354" s="13">
        <v>541001</v>
      </c>
      <c r="B354" s="8" t="s">
        <v>399</v>
      </c>
      <c r="C354" s="9" t="s">
        <v>122</v>
      </c>
    </row>
    <row r="355" spans="1:3" x14ac:dyDescent="0.25">
      <c r="A355" s="13">
        <v>542000</v>
      </c>
      <c r="B355" s="8" t="s">
        <v>400</v>
      </c>
      <c r="C355" s="9" t="s">
        <v>121</v>
      </c>
    </row>
    <row r="356" spans="1:3" x14ac:dyDescent="0.25">
      <c r="A356" s="13">
        <v>542001</v>
      </c>
      <c r="B356" s="8" t="s">
        <v>400</v>
      </c>
      <c r="C356" s="9" t="s">
        <v>122</v>
      </c>
    </row>
    <row r="357" spans="1:3" x14ac:dyDescent="0.25">
      <c r="A357" s="13">
        <v>543000</v>
      </c>
      <c r="B357" s="8" t="s">
        <v>401</v>
      </c>
      <c r="C357" s="9" t="s">
        <v>121</v>
      </c>
    </row>
    <row r="358" spans="1:3" ht="25.5" x14ac:dyDescent="0.25">
      <c r="A358" s="13">
        <v>543001</v>
      </c>
      <c r="B358" s="8" t="s">
        <v>402</v>
      </c>
      <c r="C358" s="9" t="s">
        <v>122</v>
      </c>
    </row>
    <row r="359" spans="1:3" x14ac:dyDescent="0.25">
      <c r="A359" s="13">
        <v>544000</v>
      </c>
      <c r="B359" s="8" t="s">
        <v>403</v>
      </c>
      <c r="C359" s="9" t="s">
        <v>121</v>
      </c>
    </row>
    <row r="360" spans="1:3" x14ac:dyDescent="0.25">
      <c r="A360" s="13">
        <v>544001</v>
      </c>
      <c r="B360" s="8" t="s">
        <v>403</v>
      </c>
      <c r="C360" s="9" t="s">
        <v>122</v>
      </c>
    </row>
    <row r="361" spans="1:3" x14ac:dyDescent="0.25">
      <c r="A361" s="13">
        <v>545000</v>
      </c>
      <c r="B361" s="8" t="s">
        <v>404</v>
      </c>
      <c r="C361" s="9" t="s">
        <v>121</v>
      </c>
    </row>
    <row r="362" spans="1:3" x14ac:dyDescent="0.25">
      <c r="A362" s="13">
        <v>545001</v>
      </c>
      <c r="B362" s="8" t="s">
        <v>405</v>
      </c>
      <c r="C362" s="9" t="s">
        <v>122</v>
      </c>
    </row>
    <row r="363" spans="1:3" ht="25.5" x14ac:dyDescent="0.25">
      <c r="A363" s="13">
        <v>549000</v>
      </c>
      <c r="B363" s="8" t="s">
        <v>406</v>
      </c>
      <c r="C363" s="9" t="s">
        <v>121</v>
      </c>
    </row>
    <row r="364" spans="1:3" ht="25.5" x14ac:dyDescent="0.25">
      <c r="A364" s="13">
        <v>549001</v>
      </c>
      <c r="B364" s="8" t="s">
        <v>407</v>
      </c>
      <c r="C364" s="9" t="s">
        <v>122</v>
      </c>
    </row>
    <row r="365" spans="1:3" ht="25.5" x14ac:dyDescent="0.25">
      <c r="A365" s="13">
        <v>550000</v>
      </c>
      <c r="B365" s="8" t="s">
        <v>408</v>
      </c>
      <c r="C365" s="9" t="s">
        <v>121</v>
      </c>
    </row>
    <row r="366" spans="1:3" ht="25.5" x14ac:dyDescent="0.25">
      <c r="A366" s="13">
        <v>551000</v>
      </c>
      <c r="B366" s="8" t="s">
        <v>409</v>
      </c>
      <c r="C366" s="9" t="s">
        <v>121</v>
      </c>
    </row>
    <row r="367" spans="1:3" ht="25.5" x14ac:dyDescent="0.25">
      <c r="A367" s="13">
        <v>551001</v>
      </c>
      <c r="B367" s="8" t="s">
        <v>410</v>
      </c>
      <c r="C367" s="9" t="s">
        <v>122</v>
      </c>
    </row>
    <row r="368" spans="1:3" ht="25.5" x14ac:dyDescent="0.25">
      <c r="A368" s="13">
        <v>560000</v>
      </c>
      <c r="B368" s="8" t="s">
        <v>411</v>
      </c>
      <c r="C368" s="9" t="s">
        <v>121</v>
      </c>
    </row>
    <row r="369" spans="1:3" ht="25.5" x14ac:dyDescent="0.25">
      <c r="A369" s="13">
        <v>561000</v>
      </c>
      <c r="B369" s="8" t="s">
        <v>412</v>
      </c>
      <c r="C369" s="9" t="s">
        <v>121</v>
      </c>
    </row>
    <row r="370" spans="1:3" ht="38.25" x14ac:dyDescent="0.25">
      <c r="A370" s="13">
        <v>561001</v>
      </c>
      <c r="B370" s="8" t="s">
        <v>413</v>
      </c>
      <c r="C370" s="9" t="s">
        <v>122</v>
      </c>
    </row>
    <row r="371" spans="1:3" ht="25.5" x14ac:dyDescent="0.25">
      <c r="A371" s="13">
        <v>562000</v>
      </c>
      <c r="B371" s="8" t="s">
        <v>414</v>
      </c>
      <c r="C371" s="9" t="s">
        <v>121</v>
      </c>
    </row>
    <row r="372" spans="1:3" x14ac:dyDescent="0.25">
      <c r="A372" s="13">
        <v>562001</v>
      </c>
      <c r="B372" s="8" t="s">
        <v>415</v>
      </c>
      <c r="C372" s="9" t="s">
        <v>122</v>
      </c>
    </row>
    <row r="373" spans="1:3" ht="25.5" x14ac:dyDescent="0.25">
      <c r="A373" s="13">
        <v>563000</v>
      </c>
      <c r="B373" s="8" t="s">
        <v>416</v>
      </c>
      <c r="C373" s="9" t="s">
        <v>121</v>
      </c>
    </row>
    <row r="374" spans="1:3" ht="25.5" x14ac:dyDescent="0.25">
      <c r="A374" s="13">
        <v>563001</v>
      </c>
      <c r="B374" s="8" t="s">
        <v>416</v>
      </c>
      <c r="C374" s="9" t="s">
        <v>122</v>
      </c>
    </row>
    <row r="375" spans="1:3" ht="51" x14ac:dyDescent="0.25">
      <c r="A375" s="13">
        <v>564000</v>
      </c>
      <c r="B375" s="8" t="s">
        <v>417</v>
      </c>
      <c r="C375" s="9" t="s">
        <v>121</v>
      </c>
    </row>
    <row r="376" spans="1:3" ht="51" x14ac:dyDescent="0.25">
      <c r="A376" s="13">
        <v>564001</v>
      </c>
      <c r="B376" s="8" t="s">
        <v>417</v>
      </c>
      <c r="C376" s="9" t="s">
        <v>122</v>
      </c>
    </row>
    <row r="377" spans="1:3" ht="25.5" x14ac:dyDescent="0.25">
      <c r="A377" s="13">
        <v>565000</v>
      </c>
      <c r="B377" s="8" t="s">
        <v>418</v>
      </c>
      <c r="C377" s="9" t="s">
        <v>121</v>
      </c>
    </row>
    <row r="378" spans="1:3" ht="38.25" x14ac:dyDescent="0.25">
      <c r="A378" s="13">
        <v>565001</v>
      </c>
      <c r="B378" s="8" t="s">
        <v>419</v>
      </c>
      <c r="C378" s="9" t="s">
        <v>122</v>
      </c>
    </row>
    <row r="379" spans="1:3" ht="38.25" x14ac:dyDescent="0.25">
      <c r="A379" s="13">
        <v>566000</v>
      </c>
      <c r="B379" s="8" t="s">
        <v>420</v>
      </c>
      <c r="C379" s="9" t="s">
        <v>121</v>
      </c>
    </row>
    <row r="380" spans="1:3" ht="25.5" x14ac:dyDescent="0.25">
      <c r="A380" s="13">
        <v>566001</v>
      </c>
      <c r="B380" s="8" t="s">
        <v>421</v>
      </c>
      <c r="C380" s="9" t="s">
        <v>122</v>
      </c>
    </row>
    <row r="381" spans="1:3" ht="25.5" x14ac:dyDescent="0.25">
      <c r="A381" s="13">
        <v>566002</v>
      </c>
      <c r="B381" s="8" t="s">
        <v>422</v>
      </c>
      <c r="C381" s="9" t="s">
        <v>122</v>
      </c>
    </row>
    <row r="382" spans="1:3" ht="25.5" x14ac:dyDescent="0.25">
      <c r="A382" s="13">
        <v>567000</v>
      </c>
      <c r="B382" s="8" t="s">
        <v>423</v>
      </c>
      <c r="C382" s="9" t="s">
        <v>121</v>
      </c>
    </row>
    <row r="383" spans="1:3" ht="25.5" x14ac:dyDescent="0.25">
      <c r="A383" s="13">
        <v>567001</v>
      </c>
      <c r="B383" s="8" t="s">
        <v>424</v>
      </c>
      <c r="C383" s="9" t="s">
        <v>122</v>
      </c>
    </row>
    <row r="384" spans="1:3" x14ac:dyDescent="0.25">
      <c r="A384" s="13">
        <v>569000</v>
      </c>
      <c r="B384" s="8" t="s">
        <v>425</v>
      </c>
      <c r="C384" s="9" t="s">
        <v>121</v>
      </c>
    </row>
    <row r="385" spans="1:3" ht="25.5" x14ac:dyDescent="0.25">
      <c r="A385" s="13">
        <v>569001</v>
      </c>
      <c r="B385" s="8" t="s">
        <v>426</v>
      </c>
      <c r="C385" s="9" t="s">
        <v>122</v>
      </c>
    </row>
    <row r="386" spans="1:3" x14ac:dyDescent="0.25">
      <c r="A386" s="13">
        <v>570000</v>
      </c>
      <c r="B386" s="8" t="s">
        <v>427</v>
      </c>
      <c r="C386" s="9" t="s">
        <v>121</v>
      </c>
    </row>
    <row r="387" spans="1:3" x14ac:dyDescent="0.25">
      <c r="A387" s="13">
        <v>571000</v>
      </c>
      <c r="B387" s="8" t="s">
        <v>428</v>
      </c>
      <c r="C387" s="9" t="s">
        <v>121</v>
      </c>
    </row>
    <row r="388" spans="1:3" x14ac:dyDescent="0.25">
      <c r="A388" s="10">
        <v>571001</v>
      </c>
      <c r="B388" s="11" t="s">
        <v>428</v>
      </c>
      <c r="C388" s="16" t="s">
        <v>122</v>
      </c>
    </row>
    <row r="389" spans="1:3" x14ac:dyDescent="0.25">
      <c r="A389" s="13">
        <v>572000</v>
      </c>
      <c r="B389" s="8" t="s">
        <v>429</v>
      </c>
      <c r="C389" s="9" t="s">
        <v>121</v>
      </c>
    </row>
    <row r="390" spans="1:3" x14ac:dyDescent="0.25">
      <c r="A390" s="13">
        <v>572001</v>
      </c>
      <c r="B390" s="8" t="s">
        <v>429</v>
      </c>
      <c r="C390" s="9" t="s">
        <v>122</v>
      </c>
    </row>
    <row r="391" spans="1:3" x14ac:dyDescent="0.25">
      <c r="A391" s="13">
        <v>573000</v>
      </c>
      <c r="B391" s="8" t="s">
        <v>430</v>
      </c>
      <c r="C391" s="9" t="s">
        <v>121</v>
      </c>
    </row>
    <row r="392" spans="1:3" x14ac:dyDescent="0.25">
      <c r="A392" s="13">
        <v>573001</v>
      </c>
      <c r="B392" s="8" t="s">
        <v>430</v>
      </c>
      <c r="C392" s="9" t="s">
        <v>122</v>
      </c>
    </row>
    <row r="393" spans="1:3" x14ac:dyDescent="0.25">
      <c r="A393" s="13">
        <v>574000</v>
      </c>
      <c r="B393" s="8" t="s">
        <v>431</v>
      </c>
      <c r="C393" s="9" t="s">
        <v>121</v>
      </c>
    </row>
    <row r="394" spans="1:3" x14ac:dyDescent="0.25">
      <c r="A394" s="13">
        <v>574001</v>
      </c>
      <c r="B394" s="8" t="s">
        <v>431</v>
      </c>
      <c r="C394" s="9" t="s">
        <v>122</v>
      </c>
    </row>
    <row r="395" spans="1:3" x14ac:dyDescent="0.25">
      <c r="A395" s="13">
        <v>575000</v>
      </c>
      <c r="B395" s="8" t="s">
        <v>432</v>
      </c>
      <c r="C395" s="9" t="s">
        <v>121</v>
      </c>
    </row>
    <row r="396" spans="1:3" x14ac:dyDescent="0.25">
      <c r="A396" s="13">
        <v>575001</v>
      </c>
      <c r="B396" s="8" t="s">
        <v>432</v>
      </c>
      <c r="C396" s="9" t="s">
        <v>122</v>
      </c>
    </row>
    <row r="397" spans="1:3" x14ac:dyDescent="0.25">
      <c r="A397" s="13">
        <v>576000</v>
      </c>
      <c r="B397" s="8" t="s">
        <v>433</v>
      </c>
      <c r="C397" s="9" t="s">
        <v>121</v>
      </c>
    </row>
    <row r="398" spans="1:3" x14ac:dyDescent="0.25">
      <c r="A398" s="13">
        <v>576001</v>
      </c>
      <c r="B398" s="8" t="s">
        <v>433</v>
      </c>
      <c r="C398" s="9" t="s">
        <v>122</v>
      </c>
    </row>
    <row r="399" spans="1:3" ht="25.5" x14ac:dyDescent="0.25">
      <c r="A399" s="13">
        <v>577000</v>
      </c>
      <c r="B399" s="8" t="s">
        <v>434</v>
      </c>
      <c r="C399" s="9" t="s">
        <v>121</v>
      </c>
    </row>
    <row r="400" spans="1:3" ht="25.5" x14ac:dyDescent="0.25">
      <c r="A400" s="13">
        <v>577001</v>
      </c>
      <c r="B400" s="8" t="s">
        <v>434</v>
      </c>
      <c r="C400" s="9" t="s">
        <v>122</v>
      </c>
    </row>
    <row r="401" spans="1:3" x14ac:dyDescent="0.25">
      <c r="A401" s="13">
        <v>578000</v>
      </c>
      <c r="B401" s="8" t="s">
        <v>435</v>
      </c>
      <c r="C401" s="9" t="s">
        <v>121</v>
      </c>
    </row>
    <row r="402" spans="1:3" x14ac:dyDescent="0.25">
      <c r="A402" s="13">
        <v>578001</v>
      </c>
      <c r="B402" s="8" t="s">
        <v>435</v>
      </c>
      <c r="C402" s="9" t="s">
        <v>122</v>
      </c>
    </row>
    <row r="403" spans="1:3" x14ac:dyDescent="0.25">
      <c r="A403" s="13">
        <v>579000</v>
      </c>
      <c r="B403" s="8" t="s">
        <v>436</v>
      </c>
      <c r="C403" s="9" t="s">
        <v>121</v>
      </c>
    </row>
    <row r="404" spans="1:3" x14ac:dyDescent="0.25">
      <c r="A404" s="13">
        <v>579001</v>
      </c>
      <c r="B404" s="8" t="s">
        <v>436</v>
      </c>
      <c r="C404" s="9" t="s">
        <v>122</v>
      </c>
    </row>
    <row r="405" spans="1:3" x14ac:dyDescent="0.25">
      <c r="A405" s="13">
        <v>580000</v>
      </c>
      <c r="B405" s="8" t="s">
        <v>437</v>
      </c>
      <c r="C405" s="9" t="s">
        <v>121</v>
      </c>
    </row>
    <row r="406" spans="1:3" x14ac:dyDescent="0.25">
      <c r="A406" s="13">
        <v>581000</v>
      </c>
      <c r="B406" s="8" t="s">
        <v>438</v>
      </c>
      <c r="C406" s="9" t="s">
        <v>121</v>
      </c>
    </row>
    <row r="407" spans="1:3" x14ac:dyDescent="0.25">
      <c r="A407" s="13">
        <v>581001</v>
      </c>
      <c r="B407" s="8" t="s">
        <v>438</v>
      </c>
      <c r="C407" s="9" t="s">
        <v>122</v>
      </c>
    </row>
    <row r="408" spans="1:3" x14ac:dyDescent="0.25">
      <c r="A408" s="13">
        <v>582000</v>
      </c>
      <c r="B408" s="8" t="s">
        <v>439</v>
      </c>
      <c r="C408" s="9" t="s">
        <v>121</v>
      </c>
    </row>
    <row r="409" spans="1:3" x14ac:dyDescent="0.25">
      <c r="A409" s="13">
        <v>582001</v>
      </c>
      <c r="B409" s="8" t="s">
        <v>439</v>
      </c>
      <c r="C409" s="9" t="s">
        <v>122</v>
      </c>
    </row>
    <row r="410" spans="1:3" x14ac:dyDescent="0.25">
      <c r="A410" s="13">
        <v>583000</v>
      </c>
      <c r="B410" s="8" t="s">
        <v>440</v>
      </c>
      <c r="C410" s="9" t="s">
        <v>121</v>
      </c>
    </row>
    <row r="411" spans="1:3" x14ac:dyDescent="0.25">
      <c r="A411" s="13">
        <v>583001</v>
      </c>
      <c r="B411" s="8" t="s">
        <v>441</v>
      </c>
      <c r="C411" s="9" t="s">
        <v>122</v>
      </c>
    </row>
    <row r="412" spans="1:3" x14ac:dyDescent="0.25">
      <c r="A412" s="13">
        <v>589000</v>
      </c>
      <c r="B412" s="8" t="s">
        <v>442</v>
      </c>
      <c r="C412" s="9" t="s">
        <v>121</v>
      </c>
    </row>
    <row r="413" spans="1:3" ht="51" x14ac:dyDescent="0.25">
      <c r="A413" s="13">
        <v>589001</v>
      </c>
      <c r="B413" s="8" t="s">
        <v>443</v>
      </c>
      <c r="C413" s="9" t="s">
        <v>122</v>
      </c>
    </row>
    <row r="414" spans="1:3" x14ac:dyDescent="0.25">
      <c r="A414" s="13">
        <v>590000</v>
      </c>
      <c r="B414" s="8" t="s">
        <v>444</v>
      </c>
      <c r="C414" s="9" t="s">
        <v>121</v>
      </c>
    </row>
    <row r="415" spans="1:3" x14ac:dyDescent="0.25">
      <c r="A415" s="13">
        <v>591000</v>
      </c>
      <c r="B415" s="8" t="s">
        <v>445</v>
      </c>
      <c r="C415" s="9" t="s">
        <v>121</v>
      </c>
    </row>
    <row r="416" spans="1:3" x14ac:dyDescent="0.25">
      <c r="A416" s="13">
        <v>591001</v>
      </c>
      <c r="B416" s="8" t="s">
        <v>445</v>
      </c>
      <c r="C416" s="9" t="s">
        <v>122</v>
      </c>
    </row>
    <row r="417" spans="1:3" x14ac:dyDescent="0.25">
      <c r="A417" s="13">
        <v>592000</v>
      </c>
      <c r="B417" s="8" t="s">
        <v>446</v>
      </c>
      <c r="C417" s="9" t="s">
        <v>121</v>
      </c>
    </row>
    <row r="418" spans="1:3" x14ac:dyDescent="0.25">
      <c r="A418" s="13">
        <v>592001</v>
      </c>
      <c r="B418" s="8" t="s">
        <v>446</v>
      </c>
      <c r="C418" s="9" t="s">
        <v>122</v>
      </c>
    </row>
    <row r="419" spans="1:3" x14ac:dyDescent="0.25">
      <c r="A419" s="13">
        <v>593000</v>
      </c>
      <c r="B419" s="8" t="s">
        <v>447</v>
      </c>
      <c r="C419" s="9" t="s">
        <v>121</v>
      </c>
    </row>
    <row r="420" spans="1:3" x14ac:dyDescent="0.25">
      <c r="A420" s="13">
        <v>593001</v>
      </c>
      <c r="B420" s="8" t="s">
        <v>447</v>
      </c>
      <c r="C420" s="9" t="s">
        <v>122</v>
      </c>
    </row>
    <row r="421" spans="1:3" x14ac:dyDescent="0.25">
      <c r="A421" s="13">
        <v>594000</v>
      </c>
      <c r="B421" s="8" t="s">
        <v>448</v>
      </c>
      <c r="C421" s="9" t="s">
        <v>121</v>
      </c>
    </row>
    <row r="422" spans="1:3" x14ac:dyDescent="0.25">
      <c r="A422" s="13">
        <v>594001</v>
      </c>
      <c r="B422" s="8" t="s">
        <v>448</v>
      </c>
      <c r="C422" s="9" t="s">
        <v>122</v>
      </c>
    </row>
    <row r="423" spans="1:3" x14ac:dyDescent="0.25">
      <c r="A423" s="13">
        <v>595000</v>
      </c>
      <c r="B423" s="8" t="s">
        <v>449</v>
      </c>
      <c r="C423" s="9" t="s">
        <v>121</v>
      </c>
    </row>
    <row r="424" spans="1:3" x14ac:dyDescent="0.25">
      <c r="A424" s="13">
        <v>595001</v>
      </c>
      <c r="B424" s="8" t="s">
        <v>449</v>
      </c>
      <c r="C424" s="9" t="s">
        <v>122</v>
      </c>
    </row>
    <row r="425" spans="1:3" x14ac:dyDescent="0.25">
      <c r="A425" s="13">
        <v>596000</v>
      </c>
      <c r="B425" s="8" t="s">
        <v>450</v>
      </c>
      <c r="C425" s="9" t="s">
        <v>121</v>
      </c>
    </row>
    <row r="426" spans="1:3" x14ac:dyDescent="0.25">
      <c r="A426" s="13">
        <v>596001</v>
      </c>
      <c r="B426" s="8" t="s">
        <v>450</v>
      </c>
      <c r="C426" s="9" t="s">
        <v>122</v>
      </c>
    </row>
    <row r="427" spans="1:3" ht="25.5" x14ac:dyDescent="0.25">
      <c r="A427" s="13">
        <v>597000</v>
      </c>
      <c r="B427" s="8" t="s">
        <v>451</v>
      </c>
      <c r="C427" s="9" t="s">
        <v>121</v>
      </c>
    </row>
    <row r="428" spans="1:3" ht="25.5" x14ac:dyDescent="0.25">
      <c r="A428" s="13">
        <v>597001</v>
      </c>
      <c r="B428" s="8" t="s">
        <v>452</v>
      </c>
      <c r="C428" s="9" t="s">
        <v>122</v>
      </c>
    </row>
    <row r="429" spans="1:3" ht="38.25" x14ac:dyDescent="0.25">
      <c r="A429" s="13">
        <v>597002</v>
      </c>
      <c r="B429" s="8" t="s">
        <v>453</v>
      </c>
      <c r="C429" s="9" t="s">
        <v>122</v>
      </c>
    </row>
    <row r="430" spans="1:3" ht="25.5" x14ac:dyDescent="0.25">
      <c r="A430" s="13">
        <v>598000</v>
      </c>
      <c r="B430" s="8" t="s">
        <v>454</v>
      </c>
      <c r="C430" s="9" t="s">
        <v>121</v>
      </c>
    </row>
    <row r="431" spans="1:3" ht="25.5" x14ac:dyDescent="0.25">
      <c r="A431" s="15">
        <v>598001</v>
      </c>
      <c r="B431" s="11" t="s">
        <v>454</v>
      </c>
      <c r="C431" s="12" t="s">
        <v>122</v>
      </c>
    </row>
    <row r="432" spans="1:3" x14ac:dyDescent="0.25">
      <c r="A432" s="17">
        <v>599000</v>
      </c>
      <c r="B432" s="8" t="s">
        <v>455</v>
      </c>
      <c r="C432" s="14" t="s">
        <v>121</v>
      </c>
    </row>
    <row r="433" spans="1:3" x14ac:dyDescent="0.25">
      <c r="A433" s="17">
        <v>599001</v>
      </c>
      <c r="B433" s="8" t="s">
        <v>455</v>
      </c>
      <c r="C433" s="14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2"/>
  <sheetViews>
    <sheetView workbookViewId="0">
      <selection activeCell="A2" sqref="A2"/>
    </sheetView>
  </sheetViews>
  <sheetFormatPr baseColWidth="10" defaultRowHeight="15" x14ac:dyDescent="0.25"/>
  <cols>
    <col min="1" max="1" width="17.7109375" style="27" customWidth="1"/>
  </cols>
  <sheetData>
    <row r="1" spans="1:6" ht="15" customHeight="1" x14ac:dyDescent="0.25">
      <c r="A1" s="21" t="s">
        <v>18</v>
      </c>
      <c r="B1" s="127" t="s">
        <v>19</v>
      </c>
      <c r="C1" s="128"/>
      <c r="D1" s="128"/>
      <c r="E1" s="128"/>
      <c r="F1" s="7"/>
    </row>
    <row r="2" spans="1:6" x14ac:dyDescent="0.25">
      <c r="A2" s="22">
        <v>100</v>
      </c>
      <c r="B2" s="129" t="s">
        <v>20</v>
      </c>
      <c r="C2" s="130"/>
      <c r="D2" s="130"/>
      <c r="E2" s="131"/>
      <c r="F2" s="7"/>
    </row>
    <row r="3" spans="1:6" x14ac:dyDescent="0.25">
      <c r="A3" s="23">
        <v>101</v>
      </c>
      <c r="B3" s="115" t="s">
        <v>21</v>
      </c>
      <c r="C3" s="116"/>
      <c r="D3" s="116"/>
      <c r="E3" s="117"/>
      <c r="F3" s="7"/>
    </row>
    <row r="4" spans="1:6" x14ac:dyDescent="0.25">
      <c r="A4" s="23">
        <v>102</v>
      </c>
      <c r="B4" s="115" t="s">
        <v>22</v>
      </c>
      <c r="C4" s="116"/>
      <c r="D4" s="116"/>
      <c r="E4" s="117"/>
      <c r="F4" s="7"/>
    </row>
    <row r="5" spans="1:6" x14ac:dyDescent="0.25">
      <c r="A5" s="23">
        <v>103</v>
      </c>
      <c r="B5" s="115" t="s">
        <v>23</v>
      </c>
      <c r="C5" s="116"/>
      <c r="D5" s="116"/>
      <c r="E5" s="117"/>
      <c r="F5" s="7"/>
    </row>
    <row r="6" spans="1:6" x14ac:dyDescent="0.25">
      <c r="A6" s="23">
        <v>104</v>
      </c>
      <c r="B6" s="115" t="s">
        <v>24</v>
      </c>
      <c r="C6" s="116"/>
      <c r="D6" s="116"/>
      <c r="E6" s="117"/>
      <c r="F6" s="7"/>
    </row>
    <row r="7" spans="1:6" x14ac:dyDescent="0.25">
      <c r="A7" s="23">
        <v>110</v>
      </c>
      <c r="B7" s="115" t="s">
        <v>25</v>
      </c>
      <c r="C7" s="116"/>
      <c r="D7" s="116"/>
      <c r="E7" s="117"/>
      <c r="F7" s="7"/>
    </row>
    <row r="8" spans="1:6" x14ac:dyDescent="0.25">
      <c r="A8" s="23">
        <v>111</v>
      </c>
      <c r="B8" s="115" t="s">
        <v>26</v>
      </c>
      <c r="C8" s="116"/>
      <c r="D8" s="116"/>
      <c r="E8" s="117"/>
      <c r="F8" s="7"/>
    </row>
    <row r="9" spans="1:6" x14ac:dyDescent="0.25">
      <c r="A9" s="23">
        <v>130</v>
      </c>
      <c r="B9" s="115" t="s">
        <v>27</v>
      </c>
      <c r="C9" s="116"/>
      <c r="D9" s="116"/>
      <c r="E9" s="117"/>
      <c r="F9" s="7"/>
    </row>
    <row r="10" spans="1:6" x14ac:dyDescent="0.25">
      <c r="A10" s="23">
        <v>136</v>
      </c>
      <c r="B10" s="115" t="s">
        <v>28</v>
      </c>
      <c r="C10" s="116"/>
      <c r="D10" s="116"/>
      <c r="E10" s="117"/>
      <c r="F10" s="7"/>
    </row>
    <row r="11" spans="1:6" x14ac:dyDescent="0.25">
      <c r="A11" s="23">
        <v>137</v>
      </c>
      <c r="B11" s="115" t="s">
        <v>29</v>
      </c>
      <c r="C11" s="116"/>
      <c r="D11" s="116"/>
      <c r="E11" s="117"/>
      <c r="F11" s="7"/>
    </row>
    <row r="12" spans="1:6" x14ac:dyDescent="0.25">
      <c r="A12" s="23">
        <v>138</v>
      </c>
      <c r="B12" s="115" t="s">
        <v>30</v>
      </c>
      <c r="C12" s="116"/>
      <c r="D12" s="116"/>
      <c r="E12" s="117"/>
      <c r="F12" s="7"/>
    </row>
    <row r="13" spans="1:6" x14ac:dyDescent="0.25">
      <c r="A13" s="23">
        <v>139</v>
      </c>
      <c r="B13" s="115" t="s">
        <v>31</v>
      </c>
      <c r="C13" s="116"/>
      <c r="D13" s="116"/>
      <c r="E13" s="117"/>
      <c r="F13" s="7"/>
    </row>
    <row r="14" spans="1:6" x14ac:dyDescent="0.25">
      <c r="A14" s="23">
        <v>140</v>
      </c>
      <c r="B14" s="115" t="s">
        <v>32</v>
      </c>
      <c r="C14" s="116"/>
      <c r="D14" s="116"/>
      <c r="E14" s="117"/>
      <c r="F14" s="7"/>
    </row>
    <row r="15" spans="1:6" x14ac:dyDescent="0.25">
      <c r="A15" s="23">
        <v>141</v>
      </c>
      <c r="B15" s="115" t="s">
        <v>33</v>
      </c>
      <c r="C15" s="116"/>
      <c r="D15" s="116"/>
      <c r="E15" s="117"/>
      <c r="F15" s="7"/>
    </row>
    <row r="16" spans="1:6" x14ac:dyDescent="0.25">
      <c r="A16" s="23">
        <v>142</v>
      </c>
      <c r="B16" s="115" t="s">
        <v>34</v>
      </c>
      <c r="C16" s="116"/>
      <c r="D16" s="116"/>
      <c r="E16" s="117"/>
      <c r="F16" s="7"/>
    </row>
    <row r="17" spans="1:6" x14ac:dyDescent="0.25">
      <c r="A17" s="23">
        <v>143</v>
      </c>
      <c r="B17" s="115" t="s">
        <v>35</v>
      </c>
      <c r="C17" s="116"/>
      <c r="D17" s="116"/>
      <c r="E17" s="117"/>
      <c r="F17" s="7"/>
    </row>
    <row r="18" spans="1:6" x14ac:dyDescent="0.25">
      <c r="A18" s="23">
        <v>145</v>
      </c>
      <c r="B18" s="115" t="s">
        <v>36</v>
      </c>
      <c r="C18" s="116"/>
      <c r="D18" s="116"/>
      <c r="E18" s="117"/>
      <c r="F18" s="7"/>
    </row>
    <row r="19" spans="1:6" x14ac:dyDescent="0.25">
      <c r="A19" s="23">
        <v>146</v>
      </c>
      <c r="B19" s="115" t="s">
        <v>37</v>
      </c>
      <c r="C19" s="116"/>
      <c r="D19" s="116"/>
      <c r="E19" s="117"/>
      <c r="F19" s="7"/>
    </row>
    <row r="20" spans="1:6" x14ac:dyDescent="0.25">
      <c r="A20" s="23">
        <v>147</v>
      </c>
      <c r="B20" s="115" t="s">
        <v>38</v>
      </c>
      <c r="C20" s="116"/>
      <c r="D20" s="116"/>
      <c r="E20" s="117"/>
      <c r="F20" s="7"/>
    </row>
    <row r="21" spans="1:6" x14ac:dyDescent="0.25">
      <c r="A21" s="23">
        <v>148</v>
      </c>
      <c r="B21" s="115" t="s">
        <v>39</v>
      </c>
      <c r="C21" s="116"/>
      <c r="D21" s="116"/>
      <c r="E21" s="117"/>
      <c r="F21" s="7"/>
    </row>
    <row r="22" spans="1:6" x14ac:dyDescent="0.25">
      <c r="A22" s="23">
        <v>149</v>
      </c>
      <c r="B22" s="115" t="s">
        <v>40</v>
      </c>
      <c r="C22" s="116"/>
      <c r="D22" s="116"/>
      <c r="E22" s="117"/>
      <c r="F22" s="7"/>
    </row>
    <row r="23" spans="1:6" x14ac:dyDescent="0.25">
      <c r="A23" s="24">
        <v>161</v>
      </c>
      <c r="B23" s="124" t="s">
        <v>41</v>
      </c>
      <c r="C23" s="125"/>
      <c r="D23" s="125"/>
      <c r="E23" s="126"/>
      <c r="F23" s="7"/>
    </row>
    <row r="24" spans="1:6" x14ac:dyDescent="0.25">
      <c r="A24" s="23">
        <v>162</v>
      </c>
      <c r="B24" s="115" t="s">
        <v>42</v>
      </c>
      <c r="C24" s="116"/>
      <c r="D24" s="116"/>
      <c r="E24" s="117"/>
      <c r="F24" s="7"/>
    </row>
    <row r="25" spans="1:6" x14ac:dyDescent="0.25">
      <c r="A25" s="23">
        <v>163</v>
      </c>
      <c r="B25" s="115" t="s">
        <v>43</v>
      </c>
      <c r="C25" s="116"/>
      <c r="D25" s="116"/>
      <c r="E25" s="117"/>
      <c r="F25" s="7"/>
    </row>
    <row r="26" spans="1:6" x14ac:dyDescent="0.25">
      <c r="A26" s="23">
        <v>164</v>
      </c>
      <c r="B26" s="115" t="s">
        <v>44</v>
      </c>
      <c r="C26" s="116"/>
      <c r="D26" s="116"/>
      <c r="E26" s="117"/>
      <c r="F26" s="7"/>
    </row>
    <row r="27" spans="1:6" x14ac:dyDescent="0.25">
      <c r="A27" s="23">
        <v>165</v>
      </c>
      <c r="B27" s="115" t="s">
        <v>45</v>
      </c>
      <c r="C27" s="116"/>
      <c r="D27" s="116"/>
      <c r="E27" s="117"/>
      <c r="F27" s="7"/>
    </row>
    <row r="28" spans="1:6" x14ac:dyDescent="0.25">
      <c r="A28" s="23">
        <v>166</v>
      </c>
      <c r="B28" s="115" t="s">
        <v>46</v>
      </c>
      <c r="C28" s="116"/>
      <c r="D28" s="116"/>
      <c r="E28" s="117"/>
      <c r="F28" s="7"/>
    </row>
    <row r="29" spans="1:6" x14ac:dyDescent="0.25">
      <c r="A29" s="23">
        <v>167</v>
      </c>
      <c r="B29" s="115" t="s">
        <v>47</v>
      </c>
      <c r="C29" s="116"/>
      <c r="D29" s="116"/>
      <c r="E29" s="117"/>
      <c r="F29" s="7"/>
    </row>
    <row r="30" spans="1:6" x14ac:dyDescent="0.25">
      <c r="A30" s="23">
        <v>168</v>
      </c>
      <c r="B30" s="115" t="s">
        <v>48</v>
      </c>
      <c r="C30" s="116"/>
      <c r="D30" s="116"/>
      <c r="E30" s="117"/>
      <c r="F30" s="7"/>
    </row>
    <row r="31" spans="1:6" x14ac:dyDescent="0.25">
      <c r="A31" s="23">
        <v>169</v>
      </c>
      <c r="B31" s="115" t="s">
        <v>49</v>
      </c>
      <c r="C31" s="116"/>
      <c r="D31" s="116"/>
      <c r="E31" s="117"/>
      <c r="F31" s="7"/>
    </row>
    <row r="32" spans="1:6" x14ac:dyDescent="0.25">
      <c r="A32" s="23">
        <v>170</v>
      </c>
      <c r="B32" s="115" t="s">
        <v>50</v>
      </c>
      <c r="C32" s="116"/>
      <c r="D32" s="116"/>
      <c r="E32" s="117"/>
      <c r="F32" s="7"/>
    </row>
    <row r="33" spans="1:6" x14ac:dyDescent="0.25">
      <c r="A33" s="23">
        <v>171</v>
      </c>
      <c r="B33" s="115" t="s">
        <v>51</v>
      </c>
      <c r="C33" s="116"/>
      <c r="D33" s="116"/>
      <c r="E33" s="117"/>
      <c r="F33" s="7"/>
    </row>
    <row r="34" spans="1:6" x14ac:dyDescent="0.25">
      <c r="A34" s="23">
        <v>172</v>
      </c>
      <c r="B34" s="115" t="s">
        <v>52</v>
      </c>
      <c r="C34" s="116"/>
      <c r="D34" s="116"/>
      <c r="E34" s="117"/>
      <c r="F34" s="7"/>
    </row>
    <row r="35" spans="1:6" x14ac:dyDescent="0.25">
      <c r="A35" s="23">
        <v>173</v>
      </c>
      <c r="B35" s="115" t="s">
        <v>53</v>
      </c>
      <c r="C35" s="116"/>
      <c r="D35" s="116"/>
      <c r="E35" s="117"/>
      <c r="F35" s="7"/>
    </row>
    <row r="36" spans="1:6" x14ac:dyDescent="0.25">
      <c r="A36" s="23">
        <v>174</v>
      </c>
      <c r="B36" s="115" t="s">
        <v>54</v>
      </c>
      <c r="C36" s="116"/>
      <c r="D36" s="116"/>
      <c r="E36" s="117"/>
      <c r="F36" s="7"/>
    </row>
    <row r="37" spans="1:6" x14ac:dyDescent="0.25">
      <c r="A37" s="23">
        <v>177</v>
      </c>
      <c r="B37" s="115" t="s">
        <v>55</v>
      </c>
      <c r="C37" s="116"/>
      <c r="D37" s="116"/>
      <c r="E37" s="117"/>
      <c r="F37" s="7"/>
    </row>
    <row r="38" spans="1:6" x14ac:dyDescent="0.25">
      <c r="A38" s="23">
        <v>178</v>
      </c>
      <c r="B38" s="115" t="s">
        <v>56</v>
      </c>
      <c r="C38" s="116"/>
      <c r="D38" s="116"/>
      <c r="E38" s="117"/>
      <c r="F38" s="7"/>
    </row>
    <row r="39" spans="1:6" x14ac:dyDescent="0.25">
      <c r="A39" s="23">
        <v>179</v>
      </c>
      <c r="B39" s="115" t="s">
        <v>57</v>
      </c>
      <c r="C39" s="116"/>
      <c r="D39" s="116"/>
      <c r="E39" s="117"/>
      <c r="F39" s="7"/>
    </row>
    <row r="40" spans="1:6" x14ac:dyDescent="0.25">
      <c r="A40" s="23">
        <v>180</v>
      </c>
      <c r="B40" s="115" t="s">
        <v>58</v>
      </c>
      <c r="C40" s="116"/>
      <c r="D40" s="116"/>
      <c r="E40" s="117"/>
      <c r="F40" s="7"/>
    </row>
    <row r="41" spans="1:6" x14ac:dyDescent="0.25">
      <c r="A41" s="23">
        <v>181</v>
      </c>
      <c r="B41" s="115" t="s">
        <v>59</v>
      </c>
      <c r="C41" s="116"/>
      <c r="D41" s="116"/>
      <c r="E41" s="117"/>
      <c r="F41" s="7"/>
    </row>
    <row r="42" spans="1:6" x14ac:dyDescent="0.25">
      <c r="A42" s="23">
        <v>182</v>
      </c>
      <c r="B42" s="115" t="s">
        <v>60</v>
      </c>
      <c r="C42" s="116"/>
      <c r="D42" s="116"/>
      <c r="E42" s="117"/>
      <c r="F42" s="7"/>
    </row>
    <row r="43" spans="1:6" x14ac:dyDescent="0.25">
      <c r="A43" s="23">
        <v>183</v>
      </c>
      <c r="B43" s="115" t="s">
        <v>61</v>
      </c>
      <c r="C43" s="116"/>
      <c r="D43" s="116"/>
      <c r="E43" s="117"/>
      <c r="F43" s="7"/>
    </row>
    <row r="44" spans="1:6" x14ac:dyDescent="0.25">
      <c r="A44" s="23">
        <v>184</v>
      </c>
      <c r="B44" s="115" t="s">
        <v>62</v>
      </c>
      <c r="C44" s="116"/>
      <c r="D44" s="116"/>
      <c r="E44" s="117"/>
      <c r="F44" s="7"/>
    </row>
    <row r="45" spans="1:6" x14ac:dyDescent="0.25">
      <c r="A45" s="23">
        <v>185</v>
      </c>
      <c r="B45" s="115" t="s">
        <v>63</v>
      </c>
      <c r="C45" s="116"/>
      <c r="D45" s="116"/>
      <c r="E45" s="117"/>
      <c r="F45" s="7"/>
    </row>
    <row r="46" spans="1:6" x14ac:dyDescent="0.25">
      <c r="A46" s="23">
        <v>186</v>
      </c>
      <c r="B46" s="115" t="s">
        <v>64</v>
      </c>
      <c r="C46" s="116"/>
      <c r="D46" s="116"/>
      <c r="E46" s="117"/>
      <c r="F46" s="7"/>
    </row>
    <row r="47" spans="1:6" x14ac:dyDescent="0.25">
      <c r="A47" s="23">
        <v>187</v>
      </c>
      <c r="B47" s="115" t="s">
        <v>65</v>
      </c>
      <c r="C47" s="116"/>
      <c r="D47" s="116"/>
      <c r="E47" s="117"/>
      <c r="F47" s="7"/>
    </row>
    <row r="48" spans="1:6" x14ac:dyDescent="0.25">
      <c r="A48" s="23">
        <v>188</v>
      </c>
      <c r="B48" s="115" t="s">
        <v>66</v>
      </c>
      <c r="C48" s="116"/>
      <c r="D48" s="116"/>
      <c r="E48" s="117"/>
      <c r="F48" s="7"/>
    </row>
    <row r="49" spans="1:6" x14ac:dyDescent="0.25">
      <c r="A49" s="23">
        <v>189</v>
      </c>
      <c r="B49" s="115" t="s">
        <v>67</v>
      </c>
      <c r="C49" s="116"/>
      <c r="D49" s="116"/>
      <c r="E49" s="117"/>
      <c r="F49" s="7"/>
    </row>
    <row r="50" spans="1:6" x14ac:dyDescent="0.25">
      <c r="A50" s="23">
        <v>201</v>
      </c>
      <c r="B50" s="115" t="s">
        <v>68</v>
      </c>
      <c r="C50" s="116"/>
      <c r="D50" s="116"/>
      <c r="E50" s="117"/>
      <c r="F50" s="7"/>
    </row>
    <row r="51" spans="1:6" x14ac:dyDescent="0.25">
      <c r="A51" s="25">
        <v>500</v>
      </c>
      <c r="B51" s="121" t="s">
        <v>69</v>
      </c>
      <c r="C51" s="122"/>
      <c r="D51" s="122"/>
      <c r="E51" s="123"/>
      <c r="F51" s="7"/>
    </row>
    <row r="52" spans="1:6" x14ac:dyDescent="0.25">
      <c r="A52" s="23">
        <v>530</v>
      </c>
      <c r="B52" s="115" t="s">
        <v>70</v>
      </c>
      <c r="C52" s="116"/>
      <c r="D52" s="116"/>
      <c r="E52" s="117"/>
      <c r="F52" s="7"/>
    </row>
    <row r="53" spans="1:6" x14ac:dyDescent="0.25">
      <c r="A53" s="23">
        <v>535</v>
      </c>
      <c r="B53" s="115" t="s">
        <v>71</v>
      </c>
      <c r="C53" s="116"/>
      <c r="D53" s="116"/>
      <c r="E53" s="117"/>
      <c r="F53" s="7"/>
    </row>
    <row r="54" spans="1:6" x14ac:dyDescent="0.25">
      <c r="A54" s="23">
        <v>536</v>
      </c>
      <c r="B54" s="115" t="s">
        <v>72</v>
      </c>
      <c r="C54" s="116"/>
      <c r="D54" s="116"/>
      <c r="E54" s="117"/>
      <c r="F54" s="7"/>
    </row>
    <row r="55" spans="1:6" x14ac:dyDescent="0.25">
      <c r="A55" s="23">
        <v>537</v>
      </c>
      <c r="B55" s="115" t="s">
        <v>73</v>
      </c>
      <c r="C55" s="116"/>
      <c r="D55" s="116"/>
      <c r="E55" s="117"/>
      <c r="F55" s="7"/>
    </row>
    <row r="56" spans="1:6" x14ac:dyDescent="0.25">
      <c r="A56" s="23">
        <v>538</v>
      </c>
      <c r="B56" s="115" t="s">
        <v>74</v>
      </c>
      <c r="C56" s="116"/>
      <c r="D56" s="116"/>
      <c r="E56" s="117"/>
      <c r="F56" s="7"/>
    </row>
    <row r="57" spans="1:6" x14ac:dyDescent="0.25">
      <c r="A57" s="23">
        <v>539</v>
      </c>
      <c r="B57" s="115" t="s">
        <v>75</v>
      </c>
      <c r="C57" s="116"/>
      <c r="D57" s="116"/>
      <c r="E57" s="117"/>
      <c r="F57" s="7"/>
    </row>
    <row r="58" spans="1:6" x14ac:dyDescent="0.25">
      <c r="A58" s="23">
        <v>540</v>
      </c>
      <c r="B58" s="115" t="s">
        <v>76</v>
      </c>
      <c r="C58" s="116"/>
      <c r="D58" s="116"/>
      <c r="E58" s="117"/>
      <c r="F58" s="7"/>
    </row>
    <row r="59" spans="1:6" x14ac:dyDescent="0.25">
      <c r="A59" s="23">
        <v>541</v>
      </c>
      <c r="B59" s="115" t="s">
        <v>77</v>
      </c>
      <c r="C59" s="116"/>
      <c r="D59" s="116"/>
      <c r="E59" s="117"/>
      <c r="F59" s="7"/>
    </row>
    <row r="60" spans="1:6" x14ac:dyDescent="0.25">
      <c r="A60" s="23">
        <v>542</v>
      </c>
      <c r="B60" s="115" t="s">
        <v>78</v>
      </c>
      <c r="C60" s="116"/>
      <c r="D60" s="116"/>
      <c r="E60" s="117"/>
      <c r="F60" s="7"/>
    </row>
    <row r="61" spans="1:6" x14ac:dyDescent="0.25">
      <c r="A61" s="23">
        <v>543</v>
      </c>
      <c r="B61" s="115" t="s">
        <v>79</v>
      </c>
      <c r="C61" s="116"/>
      <c r="D61" s="116"/>
      <c r="E61" s="117"/>
      <c r="F61" s="7"/>
    </row>
    <row r="62" spans="1:6" x14ac:dyDescent="0.25">
      <c r="A62" s="23">
        <v>545</v>
      </c>
      <c r="B62" s="115" t="s">
        <v>80</v>
      </c>
      <c r="C62" s="116"/>
      <c r="D62" s="116"/>
      <c r="E62" s="117"/>
      <c r="F62" s="7"/>
    </row>
    <row r="63" spans="1:6" x14ac:dyDescent="0.25">
      <c r="A63" s="23">
        <v>546</v>
      </c>
      <c r="B63" s="115" t="s">
        <v>81</v>
      </c>
      <c r="C63" s="116"/>
      <c r="D63" s="116"/>
      <c r="E63" s="117"/>
      <c r="F63" s="7"/>
    </row>
    <row r="64" spans="1:6" x14ac:dyDescent="0.25">
      <c r="A64" s="23">
        <v>547</v>
      </c>
      <c r="B64" s="115" t="s">
        <v>82</v>
      </c>
      <c r="C64" s="116"/>
      <c r="D64" s="116"/>
      <c r="E64" s="117"/>
      <c r="F64" s="7"/>
    </row>
    <row r="65" spans="1:6" x14ac:dyDescent="0.25">
      <c r="A65" s="23">
        <v>548</v>
      </c>
      <c r="B65" s="115" t="s">
        <v>83</v>
      </c>
      <c r="C65" s="116"/>
      <c r="D65" s="116"/>
      <c r="E65" s="117"/>
      <c r="F65" s="7"/>
    </row>
    <row r="66" spans="1:6" x14ac:dyDescent="0.25">
      <c r="A66" s="24">
        <v>549</v>
      </c>
      <c r="B66" s="124" t="s">
        <v>84</v>
      </c>
      <c r="C66" s="125"/>
      <c r="D66" s="125"/>
      <c r="E66" s="126"/>
      <c r="F66" s="7"/>
    </row>
    <row r="67" spans="1:6" x14ac:dyDescent="0.25">
      <c r="A67" s="23">
        <v>561</v>
      </c>
      <c r="B67" s="115" t="s">
        <v>85</v>
      </c>
      <c r="C67" s="116"/>
      <c r="D67" s="116"/>
      <c r="E67" s="117"/>
      <c r="F67" s="7"/>
    </row>
    <row r="68" spans="1:6" x14ac:dyDescent="0.25">
      <c r="A68" s="23">
        <v>562</v>
      </c>
      <c r="B68" s="115" t="s">
        <v>86</v>
      </c>
      <c r="C68" s="116"/>
      <c r="D68" s="116"/>
      <c r="E68" s="117"/>
      <c r="F68" s="7"/>
    </row>
    <row r="69" spans="1:6" x14ac:dyDescent="0.25">
      <c r="A69" s="23">
        <v>563</v>
      </c>
      <c r="B69" s="115" t="s">
        <v>87</v>
      </c>
      <c r="C69" s="116"/>
      <c r="D69" s="116"/>
      <c r="E69" s="117"/>
      <c r="F69" s="7"/>
    </row>
    <row r="70" spans="1:6" x14ac:dyDescent="0.25">
      <c r="A70" s="23">
        <v>564</v>
      </c>
      <c r="B70" s="115" t="s">
        <v>88</v>
      </c>
      <c r="C70" s="116"/>
      <c r="D70" s="116"/>
      <c r="E70" s="117"/>
      <c r="F70" s="7"/>
    </row>
    <row r="71" spans="1:6" x14ac:dyDescent="0.25">
      <c r="A71" s="23">
        <v>565</v>
      </c>
      <c r="B71" s="115" t="s">
        <v>89</v>
      </c>
      <c r="C71" s="116"/>
      <c r="D71" s="116"/>
      <c r="E71" s="117"/>
      <c r="F71" s="7"/>
    </row>
    <row r="72" spans="1:6" x14ac:dyDescent="0.25">
      <c r="A72" s="23">
        <v>566</v>
      </c>
      <c r="B72" s="115" t="s">
        <v>90</v>
      </c>
      <c r="C72" s="116"/>
      <c r="D72" s="116"/>
      <c r="E72" s="117"/>
      <c r="F72" s="7"/>
    </row>
    <row r="73" spans="1:6" x14ac:dyDescent="0.25">
      <c r="A73" s="23">
        <v>567</v>
      </c>
      <c r="B73" s="115" t="s">
        <v>91</v>
      </c>
      <c r="C73" s="116"/>
      <c r="D73" s="116"/>
      <c r="E73" s="117"/>
      <c r="F73" s="7"/>
    </row>
    <row r="74" spans="1:6" x14ac:dyDescent="0.25">
      <c r="A74" s="23">
        <v>568</v>
      </c>
      <c r="B74" s="115" t="s">
        <v>92</v>
      </c>
      <c r="C74" s="116"/>
      <c r="D74" s="116"/>
      <c r="E74" s="117"/>
      <c r="F74" s="7"/>
    </row>
    <row r="75" spans="1:6" x14ac:dyDescent="0.25">
      <c r="A75" s="23">
        <v>569</v>
      </c>
      <c r="B75" s="115" t="s">
        <v>93</v>
      </c>
      <c r="C75" s="116"/>
      <c r="D75" s="116"/>
      <c r="E75" s="117"/>
      <c r="F75" s="7"/>
    </row>
    <row r="76" spans="1:6" x14ac:dyDescent="0.25">
      <c r="A76" s="23">
        <v>570</v>
      </c>
      <c r="B76" s="115" t="s">
        <v>94</v>
      </c>
      <c r="C76" s="116"/>
      <c r="D76" s="116"/>
      <c r="E76" s="117"/>
      <c r="F76" s="7"/>
    </row>
    <row r="77" spans="1:6" x14ac:dyDescent="0.25">
      <c r="A77" s="23">
        <v>571</v>
      </c>
      <c r="B77" s="115" t="s">
        <v>95</v>
      </c>
      <c r="C77" s="116"/>
      <c r="D77" s="116"/>
      <c r="E77" s="117"/>
      <c r="F77" s="7"/>
    </row>
    <row r="78" spans="1:6" x14ac:dyDescent="0.25">
      <c r="A78" s="23">
        <v>572</v>
      </c>
      <c r="B78" s="115" t="s">
        <v>96</v>
      </c>
      <c r="C78" s="116"/>
      <c r="D78" s="116"/>
      <c r="E78" s="117"/>
      <c r="F78" s="7"/>
    </row>
    <row r="79" spans="1:6" x14ac:dyDescent="0.25">
      <c r="A79" s="23">
        <v>573</v>
      </c>
      <c r="B79" s="115" t="s">
        <v>97</v>
      </c>
      <c r="C79" s="116"/>
      <c r="D79" s="116"/>
      <c r="E79" s="117"/>
      <c r="F79" s="7"/>
    </row>
    <row r="80" spans="1:6" x14ac:dyDescent="0.25">
      <c r="A80" s="23">
        <v>574</v>
      </c>
      <c r="B80" s="115" t="s">
        <v>98</v>
      </c>
      <c r="C80" s="116"/>
      <c r="D80" s="116"/>
      <c r="E80" s="117"/>
      <c r="F80" s="7"/>
    </row>
    <row r="81" spans="1:6" x14ac:dyDescent="0.25">
      <c r="A81" s="23">
        <v>577</v>
      </c>
      <c r="B81" s="115" t="s">
        <v>99</v>
      </c>
      <c r="C81" s="116"/>
      <c r="D81" s="116"/>
      <c r="E81" s="117"/>
      <c r="F81" s="7"/>
    </row>
    <row r="82" spans="1:6" x14ac:dyDescent="0.25">
      <c r="A82" s="23">
        <v>578</v>
      </c>
      <c r="B82" s="115" t="s">
        <v>100</v>
      </c>
      <c r="C82" s="116"/>
      <c r="D82" s="116"/>
      <c r="E82" s="117"/>
      <c r="F82" s="7"/>
    </row>
    <row r="83" spans="1:6" x14ac:dyDescent="0.25">
      <c r="A83" s="23">
        <v>579</v>
      </c>
      <c r="B83" s="115" t="s">
        <v>101</v>
      </c>
      <c r="C83" s="116"/>
      <c r="D83" s="116"/>
      <c r="E83" s="117"/>
      <c r="F83" s="7"/>
    </row>
    <row r="84" spans="1:6" x14ac:dyDescent="0.25">
      <c r="A84" s="23">
        <v>580</v>
      </c>
      <c r="B84" s="115" t="s">
        <v>102</v>
      </c>
      <c r="C84" s="116"/>
      <c r="D84" s="116"/>
      <c r="E84" s="117"/>
      <c r="F84" s="7"/>
    </row>
    <row r="85" spans="1:6" x14ac:dyDescent="0.25">
      <c r="A85" s="23">
        <v>581</v>
      </c>
      <c r="B85" s="115" t="s">
        <v>103</v>
      </c>
      <c r="C85" s="116"/>
      <c r="D85" s="116"/>
      <c r="E85" s="117"/>
      <c r="F85" s="7"/>
    </row>
    <row r="86" spans="1:6" x14ac:dyDescent="0.25">
      <c r="A86" s="23">
        <v>582</v>
      </c>
      <c r="B86" s="115" t="s">
        <v>104</v>
      </c>
      <c r="C86" s="116"/>
      <c r="D86" s="116"/>
      <c r="E86" s="117"/>
      <c r="F86" s="7"/>
    </row>
    <row r="87" spans="1:6" x14ac:dyDescent="0.25">
      <c r="A87" s="23">
        <v>583</v>
      </c>
      <c r="B87" s="115" t="s">
        <v>105</v>
      </c>
      <c r="C87" s="116"/>
      <c r="D87" s="116"/>
      <c r="E87" s="117"/>
      <c r="F87" s="7"/>
    </row>
    <row r="88" spans="1:6" x14ac:dyDescent="0.25">
      <c r="A88" s="23">
        <v>584</v>
      </c>
      <c r="B88" s="115" t="s">
        <v>106</v>
      </c>
      <c r="C88" s="116"/>
      <c r="D88" s="116"/>
      <c r="E88" s="117"/>
      <c r="F88" s="7"/>
    </row>
    <row r="89" spans="1:6" x14ac:dyDescent="0.25">
      <c r="A89" s="23">
        <v>585</v>
      </c>
      <c r="B89" s="115" t="s">
        <v>107</v>
      </c>
      <c r="C89" s="116"/>
      <c r="D89" s="116"/>
      <c r="E89" s="117"/>
      <c r="F89" s="7"/>
    </row>
    <row r="90" spans="1:6" x14ac:dyDescent="0.25">
      <c r="A90" s="23">
        <v>586</v>
      </c>
      <c r="B90" s="115" t="s">
        <v>108</v>
      </c>
      <c r="C90" s="116"/>
      <c r="D90" s="116"/>
      <c r="E90" s="117"/>
      <c r="F90" s="7"/>
    </row>
    <row r="91" spans="1:6" x14ac:dyDescent="0.25">
      <c r="A91" s="23">
        <v>587</v>
      </c>
      <c r="B91" s="115" t="s">
        <v>109</v>
      </c>
      <c r="C91" s="116"/>
      <c r="D91" s="116"/>
      <c r="E91" s="117"/>
      <c r="F91" s="7"/>
    </row>
    <row r="92" spans="1:6" x14ac:dyDescent="0.25">
      <c r="A92" s="23">
        <v>588</v>
      </c>
      <c r="B92" s="115" t="s">
        <v>110</v>
      </c>
      <c r="C92" s="116"/>
      <c r="D92" s="116"/>
      <c r="E92" s="117"/>
      <c r="F92" s="7"/>
    </row>
    <row r="93" spans="1:6" x14ac:dyDescent="0.25">
      <c r="A93" s="23">
        <v>589</v>
      </c>
      <c r="B93" s="115" t="s">
        <v>111</v>
      </c>
      <c r="C93" s="116"/>
      <c r="D93" s="116"/>
      <c r="E93" s="117"/>
      <c r="F93" s="7"/>
    </row>
    <row r="94" spans="1:6" x14ac:dyDescent="0.25">
      <c r="A94" s="23">
        <v>590</v>
      </c>
      <c r="B94" s="115" t="s">
        <v>112</v>
      </c>
      <c r="C94" s="116"/>
      <c r="D94" s="116"/>
      <c r="E94" s="117"/>
      <c r="F94" s="7"/>
    </row>
    <row r="95" spans="1:6" x14ac:dyDescent="0.25">
      <c r="A95" s="23">
        <v>591</v>
      </c>
      <c r="B95" s="115" t="s">
        <v>113</v>
      </c>
      <c r="C95" s="116"/>
      <c r="D95" s="116"/>
      <c r="E95" s="117"/>
      <c r="F95" s="7"/>
    </row>
    <row r="96" spans="1:6" x14ac:dyDescent="0.25">
      <c r="A96" s="23">
        <v>598</v>
      </c>
      <c r="B96" s="115" t="s">
        <v>114</v>
      </c>
      <c r="C96" s="116"/>
      <c r="D96" s="116"/>
      <c r="E96" s="117"/>
      <c r="F96" s="7"/>
    </row>
    <row r="97" spans="1:6" x14ac:dyDescent="0.25">
      <c r="A97" s="23">
        <v>599</v>
      </c>
      <c r="B97" s="115" t="s">
        <v>115</v>
      </c>
      <c r="C97" s="116"/>
      <c r="D97" s="116"/>
      <c r="E97" s="117"/>
      <c r="F97" s="7"/>
    </row>
    <row r="98" spans="1:6" x14ac:dyDescent="0.25">
      <c r="A98" s="25">
        <v>700</v>
      </c>
      <c r="B98" s="121" t="s">
        <v>116</v>
      </c>
      <c r="C98" s="122"/>
      <c r="D98" s="122"/>
      <c r="E98" s="123"/>
      <c r="F98" s="7"/>
    </row>
    <row r="99" spans="1:6" x14ac:dyDescent="0.25">
      <c r="A99" s="23">
        <v>736</v>
      </c>
      <c r="B99" s="115" t="s">
        <v>117</v>
      </c>
      <c r="C99" s="116"/>
      <c r="D99" s="116"/>
      <c r="E99" s="117"/>
      <c r="F99" s="7"/>
    </row>
    <row r="100" spans="1:6" x14ac:dyDescent="0.25">
      <c r="A100" s="23">
        <v>737</v>
      </c>
      <c r="B100" s="115" t="s">
        <v>118</v>
      </c>
      <c r="C100" s="116"/>
      <c r="D100" s="116"/>
      <c r="E100" s="117"/>
      <c r="F100" s="7"/>
    </row>
    <row r="101" spans="1:6" x14ac:dyDescent="0.25">
      <c r="A101" s="23">
        <v>747</v>
      </c>
      <c r="B101" s="115" t="s">
        <v>119</v>
      </c>
      <c r="C101" s="116"/>
      <c r="D101" s="116"/>
      <c r="E101" s="117"/>
      <c r="F101" s="7"/>
    </row>
    <row r="102" spans="1:6" x14ac:dyDescent="0.25">
      <c r="A102" s="26">
        <v>783</v>
      </c>
      <c r="B102" s="118" t="s">
        <v>120</v>
      </c>
      <c r="C102" s="119"/>
      <c r="D102" s="119"/>
      <c r="E102" s="120"/>
      <c r="F102" s="7"/>
    </row>
  </sheetData>
  <mergeCells count="102">
    <mergeCell ref="B1:E1"/>
    <mergeCell ref="B2:E2"/>
    <mergeCell ref="B3:E3"/>
    <mergeCell ref="B10:E10"/>
    <mergeCell ref="B11:E11"/>
    <mergeCell ref="B12:E12"/>
    <mergeCell ref="B7:E7"/>
    <mergeCell ref="B8:E8"/>
    <mergeCell ref="B9:E9"/>
    <mergeCell ref="B4:E4"/>
    <mergeCell ref="B5:E5"/>
    <mergeCell ref="B6:E6"/>
    <mergeCell ref="B19:E19"/>
    <mergeCell ref="B20:E20"/>
    <mergeCell ref="B21:E21"/>
    <mergeCell ref="B16:E16"/>
    <mergeCell ref="B17:E17"/>
    <mergeCell ref="B18:E18"/>
    <mergeCell ref="B13:E13"/>
    <mergeCell ref="B14:E14"/>
    <mergeCell ref="B15:E15"/>
    <mergeCell ref="B28:E28"/>
    <mergeCell ref="B29:E29"/>
    <mergeCell ref="B30:E30"/>
    <mergeCell ref="B25:E25"/>
    <mergeCell ref="B26:E26"/>
    <mergeCell ref="B27:E27"/>
    <mergeCell ref="B22:E22"/>
    <mergeCell ref="B23:E23"/>
    <mergeCell ref="B24:E24"/>
    <mergeCell ref="B37:E37"/>
    <mergeCell ref="B38:E38"/>
    <mergeCell ref="B39:E39"/>
    <mergeCell ref="B34:E34"/>
    <mergeCell ref="B35:E35"/>
    <mergeCell ref="B36:E36"/>
    <mergeCell ref="B31:E31"/>
    <mergeCell ref="B32:E32"/>
    <mergeCell ref="B33:E33"/>
    <mergeCell ref="B46:E46"/>
    <mergeCell ref="B47:E47"/>
    <mergeCell ref="B48:E48"/>
    <mergeCell ref="B43:E43"/>
    <mergeCell ref="B44:E44"/>
    <mergeCell ref="B45:E45"/>
    <mergeCell ref="B40:E40"/>
    <mergeCell ref="B41:E41"/>
    <mergeCell ref="B42:E42"/>
    <mergeCell ref="B55:E55"/>
    <mergeCell ref="B56:E56"/>
    <mergeCell ref="B57:E57"/>
    <mergeCell ref="B52:E52"/>
    <mergeCell ref="B53:E53"/>
    <mergeCell ref="B54:E54"/>
    <mergeCell ref="B49:E49"/>
    <mergeCell ref="B50:E50"/>
    <mergeCell ref="B51:E51"/>
    <mergeCell ref="B64:E64"/>
    <mergeCell ref="B65:E65"/>
    <mergeCell ref="B66:E66"/>
    <mergeCell ref="B61:E61"/>
    <mergeCell ref="B62:E62"/>
    <mergeCell ref="B63:E63"/>
    <mergeCell ref="B58:E58"/>
    <mergeCell ref="B59:E59"/>
    <mergeCell ref="B60:E60"/>
    <mergeCell ref="B73:E73"/>
    <mergeCell ref="B74:E74"/>
    <mergeCell ref="B75:E75"/>
    <mergeCell ref="B70:E70"/>
    <mergeCell ref="B71:E71"/>
    <mergeCell ref="B72:E72"/>
    <mergeCell ref="B67:E67"/>
    <mergeCell ref="B68:E68"/>
    <mergeCell ref="B69:E69"/>
    <mergeCell ref="B82:E82"/>
    <mergeCell ref="B83:E83"/>
    <mergeCell ref="B84:E84"/>
    <mergeCell ref="B79:E79"/>
    <mergeCell ref="B80:E80"/>
    <mergeCell ref="B81:E81"/>
    <mergeCell ref="B76:E76"/>
    <mergeCell ref="B77:E77"/>
    <mergeCell ref="B78:E78"/>
    <mergeCell ref="B91:E91"/>
    <mergeCell ref="B92:E92"/>
    <mergeCell ref="B93:E93"/>
    <mergeCell ref="B88:E88"/>
    <mergeCell ref="B89:E89"/>
    <mergeCell ref="B90:E90"/>
    <mergeCell ref="B85:E85"/>
    <mergeCell ref="B86:E86"/>
    <mergeCell ref="B87:E87"/>
    <mergeCell ref="B100:E100"/>
    <mergeCell ref="B101:E101"/>
    <mergeCell ref="B102:E102"/>
    <mergeCell ref="B97:E97"/>
    <mergeCell ref="B98:E98"/>
    <mergeCell ref="B99:E99"/>
    <mergeCell ref="B94:E94"/>
    <mergeCell ref="B95:E95"/>
    <mergeCell ref="B96:E9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>
      <selection activeCell="A2" sqref="A2"/>
    </sheetView>
  </sheetViews>
  <sheetFormatPr baseColWidth="10" defaultRowHeight="15" x14ac:dyDescent="0.25"/>
  <cols>
    <col min="1" max="1" width="34.140625" customWidth="1"/>
  </cols>
  <sheetData>
    <row r="1" spans="1:1" ht="15.75" thickBot="1" x14ac:dyDescent="0.3">
      <c r="A1" s="6" t="s">
        <v>14</v>
      </c>
    </row>
    <row r="2" spans="1:1" x14ac:dyDescent="0.25">
      <c r="A2" s="3" t="s">
        <v>7</v>
      </c>
    </row>
    <row r="3" spans="1:1" x14ac:dyDescent="0.25">
      <c r="A3" s="1" t="s">
        <v>6</v>
      </c>
    </row>
    <row r="4" spans="1:1" x14ac:dyDescent="0.25">
      <c r="A4" s="3" t="s">
        <v>15</v>
      </c>
    </row>
    <row r="5" spans="1:1" x14ac:dyDescent="0.25">
      <c r="A5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PAAAS 2024</vt:lpstr>
      <vt:lpstr>CAPITULO</vt:lpstr>
      <vt:lpstr>PARTIDA</vt:lpstr>
      <vt:lpstr>COG</vt:lpstr>
      <vt:lpstr>FF</vt:lpstr>
      <vt:lpstr>PROCED</vt:lpstr>
      <vt:lpstr>'PAAAS 2024'!Área_de_impresión</vt:lpstr>
      <vt:lpstr>BIENES</vt:lpstr>
      <vt:lpstr>CAPITULOS</vt:lpstr>
      <vt:lpstr>MATERIALES</vt:lpstr>
      <vt:lpstr>SERVICIOS</vt:lpstr>
      <vt:lpstr>'PAAAS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SFContabilidad2</cp:lastModifiedBy>
  <cp:lastPrinted>2025-02-20T19:31:02Z</cp:lastPrinted>
  <dcterms:created xsi:type="dcterms:W3CDTF">2018-02-14T21:44:21Z</dcterms:created>
  <dcterms:modified xsi:type="dcterms:W3CDTF">2025-02-20T19:31:06Z</dcterms:modified>
</cp:coreProperties>
</file>